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G7ptWfbJRSK/m5tfR8/fS7aXqExosd4V0TWD9qUKcgSSIBBHlhjnsS1tWuDiVy2BkEHLwCqbB/2YPmpvi58h0w==" workbookSaltValue="ZTrznoFxCDmaQlYt1dIhAQ==" workbookSpinCount="100000" lockStructure="1"/>
  <bookViews>
    <workbookView xWindow="120" yWindow="120" windowWidth="15120" windowHeight="8010" tabRatio="465"/>
  </bookViews>
  <sheets>
    <sheet name="Калькулятор" sheetId="1" r:id="rId1"/>
    <sheet name="Розрахунки" sheetId="7" state="hidden" r:id="rId2"/>
    <sheet name="Дані" sheetId="2" state="hidden" r:id="rId3"/>
    <sheet name="Графіки" sheetId="3" state="hidden" r:id="rId4"/>
    <sheet name="Регіони" sheetId="4" state="hidden" r:id="rId5"/>
    <sheet name="Тарифи" sheetId="5" state="hidden" r:id="rId6"/>
    <sheet name="Тарифи-1" sheetId="6" state="hidden" r:id="rId7"/>
  </sheets>
  <definedNames>
    <definedName name="Вінницька_область">'Тарифи-1'!$A$5:$A$10</definedName>
    <definedName name="Волинська_область">'Тарифи-1'!$A$12:$A$17</definedName>
    <definedName name="Газовий_котел">Дані!$A$2:$A$21</definedName>
    <definedName name="Дизельний_котел">Дані!$A$23:$A$33</definedName>
    <definedName name="Дніпропетровська_область">'Тарифи-1'!$A$19:$A$37</definedName>
    <definedName name="Донецька_область">'Тарифи-1'!$A$39:$A$57</definedName>
    <definedName name="Електричний_котел">Дані!$A$35:$A$48</definedName>
    <definedName name="Житомирська_область">'Тарифи-1'!$A$59:$A$64</definedName>
    <definedName name="Запорізька_область">'Тарифи-1'!$A$66:$A$72</definedName>
    <definedName name="Івано_Франківська_область">'Тарифи-1'!$A$74:$A$77</definedName>
    <definedName name="Київська_область">'Тарифи-1'!$A$79:$A$90</definedName>
    <definedName name="Кіровоградська_область">'Тарифи-1'!$A$92:$A$97</definedName>
    <definedName name="Котли">Дані!$A$69:$A$73</definedName>
    <definedName name="Котли1">Дані!$A$69:$A$72</definedName>
    <definedName name="Луганська_область">'Тарифи-1'!$A$99:$A$109</definedName>
    <definedName name="Львівська_область">'Тарифи-1'!$A$111:$A$125</definedName>
    <definedName name="м._Київ">'Тарифи-1'!$A$127:$A$130</definedName>
    <definedName name="Миколаївська_область">'Тарифи-1'!$A$132:$A$136</definedName>
    <definedName name="_xlnm.Print_Area" localSheetId="0">Калькулятор!$A$1:$H$66</definedName>
    <definedName name="Одеська_область">'Тарифи-1'!$A$138:$A$145</definedName>
    <definedName name="Полтавська_область">'Тарифи-1'!$A$147:$A$154</definedName>
    <definedName name="Регіони">Регіони!$A$3:$A$27</definedName>
    <definedName name="Рівненська_область">'Тарифи-1'!$A$156:$A$161</definedName>
    <definedName name="Строк_кредиту">Дані!$A$76:$A$111</definedName>
    <definedName name="Сумська_область">'Тарифи-1'!$A$163:$A$174</definedName>
    <definedName name="таня">Калькулятор!$E$53:$E$56</definedName>
    <definedName name="Твердопаливний_котел">Дані!$A$50:$A$65</definedName>
    <definedName name="Тернопільська_область">'Тарифи-1'!$A$176:$A$178</definedName>
    <definedName name="Тип_фінансування">Розрахунки!$B$17:$B$18</definedName>
    <definedName name="Харківська_область">'Тарифи-1'!$A$180:$A$194</definedName>
    <definedName name="Херсонська_область">'Тарифи-1'!$A$196:$A$200</definedName>
    <definedName name="Хмельницька_область">'Тарифи-1'!$A$202:$A$209</definedName>
    <definedName name="Централізоване">Дані!$A$67:$A$68</definedName>
    <definedName name="Черкаська_область">'Тарифи-1'!$A$211:$A$219</definedName>
    <definedName name="Чернівецька_область">'Тарифи-1'!$A$221:$A$222</definedName>
    <definedName name="Чернігівська_область">'Тарифи-1'!$A$224:$A$231</definedName>
  </definedNames>
  <calcPr calcId="152511"/>
</workbook>
</file>

<file path=xl/calcChain.xml><?xml version="1.0" encoding="utf-8"?>
<calcChain xmlns="http://schemas.openxmlformats.org/spreadsheetml/2006/main">
  <c r="E26" i="1" l="1"/>
  <c r="L7" i="7"/>
  <c r="B7" i="7" s="1"/>
  <c r="E12" i="7"/>
  <c r="B12" i="7"/>
  <c r="E11" i="7"/>
  <c r="E10" i="7"/>
  <c r="B10" i="7"/>
  <c r="E9" i="7"/>
  <c r="G7" i="7"/>
  <c r="F7" i="7" s="1"/>
  <c r="E7" i="7"/>
  <c r="E6" i="7"/>
  <c r="B6" i="7"/>
  <c r="E5" i="7"/>
  <c r="B5" i="7"/>
  <c r="E4" i="7"/>
  <c r="B4" i="7"/>
  <c r="E3" i="7"/>
  <c r="A26" i="1" s="1"/>
  <c r="C21" i="2"/>
  <c r="B21" i="2"/>
  <c r="E33" i="2"/>
  <c r="C33" i="2"/>
  <c r="D33" i="2"/>
  <c r="F33" i="2"/>
  <c r="B33" i="2"/>
  <c r="C48" i="2"/>
  <c r="D48" i="2"/>
  <c r="F48" i="2"/>
  <c r="B48" i="2"/>
  <c r="C65" i="2"/>
  <c r="D65" i="2"/>
  <c r="E65" i="2"/>
  <c r="F65" i="2"/>
  <c r="B65" i="2"/>
  <c r="C36" i="1"/>
  <c r="B36" i="1"/>
  <c r="B26" i="1"/>
  <c r="C26" i="1"/>
  <c r="M4" i="7" s="1"/>
  <c r="D5" i="1"/>
  <c r="M5" i="7" l="1"/>
  <c r="M6" i="7"/>
  <c r="O7" i="7"/>
  <c r="M3" i="7"/>
  <c r="A5" i="1"/>
  <c r="F3" i="7" l="1"/>
  <c r="G12" i="7" s="1"/>
  <c r="F9" i="7"/>
  <c r="F12" i="7"/>
  <c r="F10" i="7"/>
  <c r="F6" i="7"/>
  <c r="F4" i="7"/>
  <c r="F11" i="7"/>
  <c r="H11" i="7" s="1"/>
  <c r="F5" i="7"/>
  <c r="H5" i="7" s="1"/>
  <c r="F67" i="2"/>
  <c r="F68" i="2"/>
  <c r="O7" i="3"/>
  <c r="H12" i="7" l="1"/>
  <c r="J12" i="7" s="1"/>
  <c r="G3" i="7"/>
  <c r="H3" i="7" s="1"/>
  <c r="J3" i="7" s="1"/>
  <c r="G9" i="7"/>
  <c r="G10" i="7"/>
  <c r="H10" i="7" s="1"/>
  <c r="G5" i="7"/>
  <c r="G4" i="7"/>
  <c r="H4" i="7" s="1"/>
  <c r="G6" i="7"/>
  <c r="H6" i="7" s="1"/>
  <c r="J6" i="7" s="1"/>
  <c r="G11" i="7"/>
  <c r="O5" i="7"/>
  <c r="J5" i="7"/>
  <c r="L5" i="7" s="1"/>
  <c r="J11" i="7"/>
  <c r="L11" i="7" s="1"/>
  <c r="B11" i="7" s="1"/>
  <c r="O11" i="7" s="1"/>
  <c r="A36" i="1"/>
  <c r="E36" i="1" s="1"/>
  <c r="D26" i="1"/>
  <c r="L3" i="7" l="1"/>
  <c r="B3" i="7" s="1"/>
  <c r="C7" i="7" s="1"/>
  <c r="L9" i="7"/>
  <c r="B9" i="7" s="1"/>
  <c r="C12" i="7" s="1"/>
  <c r="O6" i="7"/>
  <c r="D36" i="1"/>
  <c r="H9" i="7"/>
  <c r="O12" i="7"/>
  <c r="J10" i="7"/>
  <c r="O4" i="7"/>
  <c r="J4" i="7"/>
  <c r="O3" i="7" l="1"/>
  <c r="P7" i="7"/>
  <c r="O9" i="7"/>
  <c r="C17" i="7"/>
  <c r="A43" i="1"/>
  <c r="J17" i="7"/>
  <c r="C18" i="7"/>
  <c r="D21" i="7" s="1"/>
  <c r="J9" i="7"/>
  <c r="O10" i="7"/>
  <c r="P12" i="7" l="1"/>
  <c r="A52" i="1" s="1"/>
  <c r="C21" i="7"/>
  <c r="E21" i="7" s="1"/>
  <c r="F18" i="7" s="1"/>
  <c r="M7" i="3" s="1"/>
  <c r="E7" i="3"/>
  <c r="E8" i="3" s="1"/>
  <c r="E9" i="3" s="1"/>
  <c r="E10" i="3" s="1"/>
  <c r="E11" i="3" s="1"/>
  <c r="E12" i="3" s="1"/>
  <c r="E13" i="3" s="1"/>
  <c r="E14" i="3" s="1"/>
  <c r="E15" i="3" s="1"/>
  <c r="E16" i="3" s="1"/>
  <c r="A49" i="1"/>
  <c r="A55" i="1" l="1"/>
  <c r="A58" i="1" s="1"/>
  <c r="C16" i="3" l="1"/>
  <c r="C12" i="3"/>
  <c r="C8" i="3"/>
  <c r="C10" i="3"/>
  <c r="C9" i="3"/>
  <c r="C13" i="3"/>
  <c r="C15" i="3"/>
  <c r="C11" i="3"/>
  <c r="C14" i="3"/>
  <c r="C7" i="3"/>
  <c r="G7" i="3" s="1"/>
  <c r="K7" i="3" s="1"/>
  <c r="M8" i="3" l="1"/>
  <c r="G8" i="3"/>
  <c r="G9" i="3" s="1"/>
  <c r="G10" i="3" s="1"/>
  <c r="G11" i="3" s="1"/>
  <c r="G12" i="3" s="1"/>
  <c r="G13" i="3" s="1"/>
  <c r="G14" i="3" s="1"/>
  <c r="G15" i="3" s="1"/>
  <c r="G16" i="3" s="1"/>
  <c r="M9" i="3" l="1"/>
  <c r="K9" i="3" s="1"/>
  <c r="K8" i="3"/>
  <c r="M10" i="3" l="1"/>
  <c r="K10" i="3" s="1"/>
  <c r="M11" i="3" l="1"/>
  <c r="K11" i="3" s="1"/>
  <c r="M12" i="3" l="1"/>
  <c r="K12" i="3" s="1"/>
  <c r="M13" i="3" l="1"/>
  <c r="K13" i="3" s="1"/>
  <c r="M14" i="3" l="1"/>
  <c r="M15" i="3" s="1"/>
  <c r="M16" i="3" s="1"/>
  <c r="K16" i="3" s="1"/>
  <c r="K15" i="3" l="1"/>
  <c r="K14" i="3"/>
</calcChain>
</file>

<file path=xl/sharedStrings.xml><?xml version="1.0" encoding="utf-8"?>
<sst xmlns="http://schemas.openxmlformats.org/spreadsheetml/2006/main" count="514" uniqueCount="356">
  <si>
    <t>Vaillant atmoTEC plus VUW 200-5</t>
  </si>
  <si>
    <t>Потужність, кВт</t>
  </si>
  <si>
    <t>Споживання е.е, Вт</t>
  </si>
  <si>
    <t>Розхід газу, м3/год</t>
  </si>
  <si>
    <t>Ціна, грн</t>
  </si>
  <si>
    <t>ККД, %</t>
  </si>
  <si>
    <t>Viessmann Vitopend 100 WH1D</t>
  </si>
  <si>
    <t>Buderus LOGANO G124 WS</t>
  </si>
  <si>
    <t>Розхід топлива, л/год</t>
  </si>
  <si>
    <t>Viessmann Vitorond 100</t>
  </si>
  <si>
    <t>Днипро Мини КЭО-24/380</t>
  </si>
  <si>
    <t>Розхід топлива, кг/год</t>
  </si>
  <si>
    <t>STROPUVA S (дрова)</t>
  </si>
  <si>
    <t>STROPUVA S (вугілля)</t>
  </si>
  <si>
    <t>SAS UWT</t>
  </si>
  <si>
    <t>Газовий котел</t>
  </si>
  <si>
    <t>Дизельний котел</t>
  </si>
  <si>
    <t>Електричний котел</t>
  </si>
  <si>
    <t>Твердопаливний котел</t>
  </si>
  <si>
    <t>Виберіть марку Вашого котла</t>
  </si>
  <si>
    <t>Виберіть тип котла, який Ви бажаєте змонтувати</t>
  </si>
  <si>
    <t>Розхід ПЕР, од/год</t>
  </si>
  <si>
    <t>Виберіть марку котла</t>
  </si>
  <si>
    <t>Затрати на опалення</t>
  </si>
  <si>
    <t>грн/сезон</t>
  </si>
  <si>
    <t>Економія грошових коштів</t>
  </si>
  <si>
    <t>Простий термін окупності</t>
  </si>
  <si>
    <t>років</t>
  </si>
  <si>
    <t>рік</t>
  </si>
  <si>
    <t>Тариф</t>
  </si>
  <si>
    <t>термін окупності</t>
  </si>
  <si>
    <t>Інвестиції</t>
  </si>
  <si>
    <t>Введіть площу Вашого дому</t>
  </si>
  <si>
    <t>м2</t>
  </si>
  <si>
    <t>Виберіть Ваш регіон</t>
  </si>
  <si>
    <t xml:space="preserve">Найменування областей </t>
  </si>
  <si>
    <t>tpo</t>
  </si>
  <si>
    <t>tco</t>
  </si>
  <si>
    <t>опалювальний період, діб,</t>
  </si>
  <si>
    <t>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</si>
  <si>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</si>
  <si>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</si>
  <si>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</si>
  <si>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</si>
  <si>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</si>
  <si>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</si>
  <si>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</si>
  <si>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</si>
  <si>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</si>
  <si>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</si>
  <si>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</si>
  <si>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</si>
  <si>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</si>
  <si>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</si>
  <si>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</si>
  <si>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</si>
  <si>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</si>
  <si>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</si>
  <si>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</si>
  <si>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</si>
  <si>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</si>
  <si>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</si>
  <si>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опалювальний період, діб</t>
  </si>
  <si>
    <t>Середня температура</t>
  </si>
  <si>
    <t>Газ</t>
  </si>
  <si>
    <t>Дизель</t>
  </si>
  <si>
    <t>Електричний</t>
  </si>
  <si>
    <t>Твердопаливний</t>
  </si>
  <si>
    <t>ккал/м3</t>
  </si>
  <si>
    <t>м3</t>
  </si>
  <si>
    <t>літрів</t>
  </si>
  <si>
    <t>кВтгод</t>
  </si>
  <si>
    <t>кг</t>
  </si>
  <si>
    <t>Гкал/сезон</t>
  </si>
  <si>
    <t>Затрати на опалення, грн</t>
  </si>
  <si>
    <t>Середня потужність котла, кВт</t>
  </si>
  <si>
    <t>Гроші, грн/сезон</t>
  </si>
  <si>
    <t>Сума, грн/сезон</t>
  </si>
  <si>
    <t>Опалення за сезон, кВтгод/сезон</t>
  </si>
  <si>
    <t>Після заміни</t>
  </si>
  <si>
    <t>Грошові річні збереження</t>
  </si>
  <si>
    <t>Централ</t>
  </si>
  <si>
    <t>Виберіть тип Вашого котла, або централізоване опалення</t>
  </si>
  <si>
    <t>Централізоване опалення</t>
  </si>
  <si>
    <t>-</t>
  </si>
  <si>
    <t>Тарифи на газ</t>
  </si>
  <si>
    <t>у період з 01 жовтня по 30 квітня (включно):</t>
  </si>
  <si>
    <t>за обсяг, спожитий до 200 м3 за місяць</t>
  </si>
  <si>
    <t>за обсяг, спожитий понад 200 м3 за місяць</t>
  </si>
  <si>
    <t>грн/м3</t>
  </si>
  <si>
    <t>Населенню, яке проживає в житлових будинках (у тому числі в житлових будинках готельного типу, квартирах та гуртожитках), обладнаних у встановленому порядку електроопалювальними установками (у тому числі в сільській місцевості):</t>
  </si>
  <si>
    <t>"1.3"</t>
  </si>
  <si>
    <t>У період з 01 жовтня 2015 року по 29 лютого 2016 року (включно):</t>
  </si>
  <si>
    <t>за обсяг, спожитий до 3600 кВт∙год електроенергії на місяць (включно)</t>
  </si>
  <si>
    <t>грн/кВтгод</t>
  </si>
  <si>
    <t>за обсяг, спожитий понад 3600 кВт∙год електроенергії на місяць</t>
  </si>
  <si>
    <t>Населенню,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місцевості):</t>
  </si>
  <si>
    <t>"1.4"</t>
  </si>
  <si>
    <t>На електроенергію, що відпускається населенню, на період з 01 вересня 2015 року по 29 лютого 2016 року включно</t>
  </si>
  <si>
    <t>од/сезон</t>
  </si>
  <si>
    <t>Кількість палива в сезон</t>
  </si>
  <si>
    <t>В місяць од</t>
  </si>
  <si>
    <t xml:space="preserve">Вулкан 20М </t>
  </si>
  <si>
    <t xml:space="preserve">Титан </t>
  </si>
  <si>
    <t>Бар.КС-Г</t>
  </si>
  <si>
    <t>Термо АОГВ</t>
  </si>
  <si>
    <t>Immergas</t>
  </si>
  <si>
    <t>Teplowest Optima</t>
  </si>
  <si>
    <t>NEVA 4510</t>
  </si>
  <si>
    <t>Dakon</t>
  </si>
  <si>
    <t>Kiturami TURBO</t>
  </si>
  <si>
    <t>Navien LFA</t>
  </si>
  <si>
    <t>Bosch Tronic 5000H</t>
  </si>
  <si>
    <t>EUROTHERM КОМФОРТ</t>
  </si>
  <si>
    <t>TENKO ECONOM</t>
  </si>
  <si>
    <t>ATON ELECTRO</t>
  </si>
  <si>
    <t> РОСС АОЭ</t>
  </si>
  <si>
    <t>MORA TOP ELECTRA LIGHT</t>
  </si>
  <si>
    <t>Котеко Watra</t>
  </si>
  <si>
    <t>Pereko KSW Alfa</t>
  </si>
  <si>
    <t>ALTEP КТ-2Е</t>
  </si>
  <si>
    <t>ATMOS DC</t>
  </si>
  <si>
    <t>Зменшення ККД</t>
  </si>
  <si>
    <t>350 (0,3)</t>
  </si>
  <si>
    <t>"Тула"</t>
  </si>
  <si>
    <t>230 (0,2)</t>
  </si>
  <si>
    <t>Э5-ДП</t>
  </si>
  <si>
    <t>КЧМ</t>
  </si>
  <si>
    <t>110(0,1)</t>
  </si>
  <si>
    <t xml:space="preserve">Відокремлений підрозділ "Ладижинська ТЕС" ПАТ "ДТЕК Західенерго" </t>
  </si>
  <si>
    <t>ДП "Теплокомуненерго Маяк" ВАТ "Маяк"</t>
  </si>
  <si>
    <t>КП "Вінницяоблтеплоенерго"</t>
  </si>
  <si>
    <t>КП ВМР "Вінницяміськтеплоенерго"</t>
  </si>
  <si>
    <t>Могилів-Подільське міське КП "Теплоенергетик"</t>
  </si>
  <si>
    <t>Володимир-Волинське ПТМ "Володимир-Волинськтеплокомуненерго"</t>
  </si>
  <si>
    <t>ДКП "Луцьктепло"</t>
  </si>
  <si>
    <t>КП "Нововолинськтеплокомуненерго" житлово-комунального об'єднання Нововолинської міської ради</t>
  </si>
  <si>
    <t>ПТМ "Ковельтепло"</t>
  </si>
  <si>
    <t>ТзОВ "Західна Теплоенергетична Група"</t>
  </si>
  <si>
    <t>ДП "Криворізька теплоцентраль"</t>
  </si>
  <si>
    <t>Комунальне підприємство "Тернівське житлово-комунальне підприємство"</t>
  </si>
  <si>
    <t>КП "Дніпродзержинськтепломережа"</t>
  </si>
  <si>
    <t>КП "Жовтоводськтепломережа"</t>
  </si>
  <si>
    <t>КП "Коменергосервіс" Дніпропетровської міської ради</t>
  </si>
  <si>
    <t>КП "Марганецьтепломережа"</t>
  </si>
  <si>
    <t>КП "Новомосковськтеплоенерго"</t>
  </si>
  <si>
    <t>КП "Павлоградтеплоенерго"</t>
  </si>
  <si>
    <t>КП "Теплоенерго" Дніпропетровської міської ради</t>
  </si>
  <si>
    <t>КП "ТПТЕ "Теплотранс" Дніпропетровської міської ради</t>
  </si>
  <si>
    <t>КПТМ "Криворіжтепломережа"</t>
  </si>
  <si>
    <t>МКП "Дніпропетровські міські теплові мережі"</t>
  </si>
  <si>
    <t>Нікопольське КП «Нікопольтеплоенерго»</t>
  </si>
  <si>
    <t>Орджонікідзевському міському КП "Орджонікідзетеплоенерго"</t>
  </si>
  <si>
    <t>ПАТ "ДТЕК Дніпроенерго" ВП "Криворізька ТЕС"</t>
  </si>
  <si>
    <t>ПАТ "ДТЕК Дніпроенерго" ВП "Придніпровська ТЕС"</t>
  </si>
  <si>
    <t>Першотравенське міське житлово-комунальне підприємство</t>
  </si>
  <si>
    <t>ТОВ "Теплосервіс"</t>
  </si>
  <si>
    <t>КВП «Краматорська тепломережа» Краматорської міської ради</t>
  </si>
  <si>
    <t>ККП "Донецькміськтепломережа"</t>
  </si>
  <si>
    <t>ККП "Маріупольтепломережа"</t>
  </si>
  <si>
    <t>КП "Вуглик" Горлівської міської ради</t>
  </si>
  <si>
    <t>КП "Красноармійськтепломережа"</t>
  </si>
  <si>
    <t>КП "Макіївтепломережа"</t>
  </si>
  <si>
    <t>КП "Тепломережа" (м. Донецьк)</t>
  </si>
  <si>
    <t>ОКП "Донецьктеплокомуненерго"</t>
  </si>
  <si>
    <t>ПАТ "Донбасенерго"</t>
  </si>
  <si>
    <t>ПАТ "ДТЕК Донецькобленерго" ВП "Миронівська ТЕС"</t>
  </si>
  <si>
    <t>ПАТ "Часівоярський вогнетривкий комбінат"</t>
  </si>
  <si>
    <t>ПрАТ "Горлівськтепломережа"</t>
  </si>
  <si>
    <t>ТДВ "Шахта "Білозерська"</t>
  </si>
  <si>
    <t>ТОВ "Артемівськ-Енергія"</t>
  </si>
  <si>
    <t>ТОВ "Водотеплокомунікація" (м. Вугледар)</t>
  </si>
  <si>
    <t>ТОВ "ДТЕК "Добропіллявугілля"</t>
  </si>
  <si>
    <t>ТОВ "ДТЕК Східенерго" ВП "Курахівська ТЕС"</t>
  </si>
  <si>
    <t>ТОВ "Краматорськтеплоенерго"</t>
  </si>
  <si>
    <t>КП "Бердичівтеплоенерго"</t>
  </si>
  <si>
    <t xml:space="preserve">КП "Житомиртеплокомуненерго"  </t>
  </si>
  <si>
    <t>КП "Озерне" Новогуйвинської селищної ради</t>
  </si>
  <si>
    <t>КП Новоград-Волинської міської ради
«Новоград-Волинськтеплокомуненерго»</t>
  </si>
  <si>
    <t xml:space="preserve">КП теплозабезпечення </t>
  </si>
  <si>
    <t>Концерн "Міські теплові мережі"</t>
  </si>
  <si>
    <t xml:space="preserve">КП "Дніпрорудненські теплові мережі" </t>
  </si>
  <si>
    <t>КП "Токмак теплоенергія" Токмацької міської ради</t>
  </si>
  <si>
    <t>ПАТ "Бердянське підприємство теплових мереж"</t>
  </si>
  <si>
    <t>ПАТ "Мотор Січ" (м. Запоріжжя)</t>
  </si>
  <si>
    <t>ТОВ "Мелітопольські теплові мережі"</t>
  </si>
  <si>
    <t>ДМП "Івано-Франківськтеплокомуненерго"</t>
  </si>
  <si>
    <t>КП "Водотеплосервіс" Калуської міської ради</t>
  </si>
  <si>
    <t>ТОВ "Станіславська теплоенергетична компанія"</t>
  </si>
  <si>
    <t>Вишгородське РКП "Вишгородтепломережа"</t>
  </si>
  <si>
    <t>КП "Боярське ГВУЖКГ Боярської міської ради Києво-Святошинського району Київської області"</t>
  </si>
  <si>
    <t>КП "Броваритепловодоенергія"</t>
  </si>
  <si>
    <t>КП "Васильківтепломережа"</t>
  </si>
  <si>
    <t>КП "Вишнівськтеплоенерго" Вишневої міської ради Києво-Святошинського району Київської області</t>
  </si>
  <si>
    <t>КП "Києво-Святошинська тепломережа" Київської обласної ради</t>
  </si>
  <si>
    <t>КП "Управління житлово-комунального господарства" (м. Славутич)</t>
  </si>
  <si>
    <t>КП БМР "Білоцерківтепломережа"</t>
  </si>
  <si>
    <t>КПТМ "Бориспільтепломережа"</t>
  </si>
  <si>
    <t>ПАТ "Енергія"</t>
  </si>
  <si>
    <t>ПКПП "Теплокомунсервіс" (м. Буча)</t>
  </si>
  <si>
    <t>ДП "Кіровоградтепло" ТОВ "Центр науково-технічних іновацій Української нафтогазової академії"</t>
  </si>
  <si>
    <t>КП "Теплоенергетик"</t>
  </si>
  <si>
    <t xml:space="preserve">КП "Теплокомуненерго" Олександрійської міської ради </t>
  </si>
  <si>
    <t>СП-ТОВ "Світловодськпобут"</t>
  </si>
  <si>
    <t>ТОВ "ДОЛИНСЬКІ ОБ'ЄДНАНІ МЕРЕЖІ"</t>
  </si>
  <si>
    <t>АМКП "Теплокомуненерго"</t>
  </si>
  <si>
    <t>ДП "Сєвєродонецька ТЕЦ"</t>
  </si>
  <si>
    <t>КП "Лисичанськтепломережа"</t>
  </si>
  <si>
    <t>КП "Первомайськтеплокомуненерго" Первомайської міської ради</t>
  </si>
  <si>
    <t>КП "Сєвєродонецьктеплокомуненерго"</t>
  </si>
  <si>
    <t>КП "СТП "Ровенькитеплокомуненерго"</t>
  </si>
  <si>
    <t>КСТП "Рубіжнетеплокомуненерго" Рубіжанської міської ради</t>
  </si>
  <si>
    <t>КТП "Алчевськтеплокомуненерго"</t>
  </si>
  <si>
    <t>Луганське МКП "Теплокомуненерго"</t>
  </si>
  <si>
    <t>ТОВ "ДТЕК Ровенькиантрацит"</t>
  </si>
  <si>
    <t>ДКП "Стебниктеплокомуненерго"</t>
  </si>
  <si>
    <t>КП  "Дрогобичтеплоенерго" ДМР</t>
  </si>
  <si>
    <t>КП "Бориславтеплоенерго"</t>
  </si>
  <si>
    <t>КП "Бродитеплоенерго"</t>
  </si>
  <si>
    <t xml:space="preserve">КП "Жовкватеплоенерго" </t>
  </si>
  <si>
    <t>КП "Стрийтеплоенерго"</t>
  </si>
  <si>
    <t>КП "Трускавецьтепло"</t>
  </si>
  <si>
    <t>КП "Червоноградтеплокомуненерго"</t>
  </si>
  <si>
    <t>КП Сокальської міської ради "Сокальтеплокомуненерго"</t>
  </si>
  <si>
    <t>ЛКМП "Львівтеплоенерго"</t>
  </si>
  <si>
    <t>ЛКП "Залізничнетеплоенерго"</t>
  </si>
  <si>
    <t>ПТМ "Самбіртеплокомуненерго"</t>
  </si>
  <si>
    <t>ТзОВ "Енергія-Новий Розділ"</t>
  </si>
  <si>
    <t>ТзОВ НВП "Енергія-Новояворівськ"</t>
  </si>
  <si>
    <t>м. Київ</t>
  </si>
  <si>
    <t>ПАТ "Київенерго"</t>
  </si>
  <si>
    <t>ТОВ "ЄВРО-РЕКОНСТРУКЦІЯ"</t>
  </si>
  <si>
    <t>ТОВ "Теплопостачсервіс" (м. Київ)</t>
  </si>
  <si>
    <t>КП "Теплопостачання та водо-каналізаційне господарство"</t>
  </si>
  <si>
    <t>КП Первомайської міської ради "Тепло"</t>
  </si>
  <si>
    <t>ОКП "Миколаївоблтеплоенерго"</t>
  </si>
  <si>
    <t>ПАТ "Миколаївська ТЕЦ"</t>
  </si>
  <si>
    <t>КВЕП "Котовськтеплокомуненерго"</t>
  </si>
  <si>
    <t>КП  «Теплові мережі Ізмаїлтеплокомуненерго»</t>
  </si>
  <si>
    <t>КП "Білгород-Дністровськтеплоенерго"</t>
  </si>
  <si>
    <t>КП "Іллічівськтеплоенерго"</t>
  </si>
  <si>
    <t>КП "Теплопостачання міста Одеси"</t>
  </si>
  <si>
    <t>КПТМ "Южтеплокомуненерго"</t>
  </si>
  <si>
    <t>ТОВ "Теплодаренерго"</t>
  </si>
  <si>
    <t>КВП "Комсомольськтеплоенерго"</t>
  </si>
  <si>
    <t>КП "Теплоенерго" (м. Кременчук)</t>
  </si>
  <si>
    <t>КПТГ "Гадячтеплоенерго"</t>
  </si>
  <si>
    <t>ОКВПТГ "Лубнитеплоенерго"</t>
  </si>
  <si>
    <t>ОКВПТГ "Миргородтеплоенерго"</t>
  </si>
  <si>
    <t>ПАТ "Полтаваобленерго" (Кременчуцька ТЕЦ)</t>
  </si>
  <si>
    <t>ПОКВПТГ "Полтаватеплоенерго"</t>
  </si>
  <si>
    <t>КП "Дубнокомуненергія"  Дубенської міської ради</t>
  </si>
  <si>
    <t xml:space="preserve">КП "Здолбунівкомуненерго" Здолбунівської міської ради </t>
  </si>
  <si>
    <t>КП "Костопількомуненергія"</t>
  </si>
  <si>
    <t xml:space="preserve">Кузнецовське міське комунальне підприємство </t>
  </si>
  <si>
    <t>ТОВ "Рівнетеплоенерго"</t>
  </si>
  <si>
    <t>ДП "Конотопський авіаремонтний завод "АВІАКОН"</t>
  </si>
  <si>
    <t>КП "Глухівський тепловий район"</t>
  </si>
  <si>
    <t>КП "Ромникомунтепло"РМР"</t>
  </si>
  <si>
    <t>КП "Теплогарант" (м. Конотоп)</t>
  </si>
  <si>
    <t>КП "Шосткинський казенний завод  "Імпульс"</t>
  </si>
  <si>
    <t>КП Білопільської міської ради "Теплосервіс Білопілля"</t>
  </si>
  <si>
    <t>ПАТ "Сумське машинобудівне НВО ім. М.В.Фрунзе"</t>
  </si>
  <si>
    <t>ТОВ "Брок-Енергія"</t>
  </si>
  <si>
    <t>ТОВ "Сумитеплоенерго"</t>
  </si>
  <si>
    <t>ТОВ "ТЕПЛОВОДОПОСТАЧ"</t>
  </si>
  <si>
    <t>ТОВ "Шосткінське підприємство "Харківенергоремонт"</t>
  </si>
  <si>
    <t>КПТМ "Тернопільміськтеплокомуненерго"</t>
  </si>
  <si>
    <t>КПТМ Тернопільської обласної ради "Тернопільтеплокомуненерго"</t>
  </si>
  <si>
    <t>Борівське КП ТМ</t>
  </si>
  <si>
    <t>Вовчанське підприємство теплових мереж</t>
  </si>
  <si>
    <t>Ізюмське КП ТМ</t>
  </si>
  <si>
    <t>КП "Тепловодосервіс" Лозівської районної ради</t>
  </si>
  <si>
    <t>КП "Теплоенерго" Лозівської міської ради Харківської області</t>
  </si>
  <si>
    <t>КП "Харківські теплові мережі"</t>
  </si>
  <si>
    <t>КП "Чугуївтепло"</t>
  </si>
  <si>
    <t>КП БРР "Балаклійські теплові мережі"</t>
  </si>
  <si>
    <t>КП ТМ Харківського району Харьківської районної державної адміністрації</t>
  </si>
  <si>
    <t>Красноградське ПТМ</t>
  </si>
  <si>
    <t>ПКП "Тепломережі"</t>
  </si>
  <si>
    <t>ПрАТ  «Теплоенергетичний центр  Роганського промвузла»</t>
  </si>
  <si>
    <t>ТОВ "Котельні лікарняного комплексу" (м. Харків)</t>
  </si>
  <si>
    <t xml:space="preserve">Харківське ОКП "Дирекція розвитку інфраструктури території" </t>
  </si>
  <si>
    <t>КПТМ "Каховтеплокомунерго"</t>
  </si>
  <si>
    <t>МКП "Херсонтеплоенерго"</t>
  </si>
  <si>
    <t>ПАТ  "Херсонська теплоелектроцентраль"</t>
  </si>
  <si>
    <t>ПП "Херсонтеплогенерація"</t>
  </si>
  <si>
    <t>Волочиське комунальне підприємство теплових мереж "Тепловик"</t>
  </si>
  <si>
    <t>КП "Міськтепловоденергія"</t>
  </si>
  <si>
    <t>КП "Південно-західні тепломережі"</t>
  </si>
  <si>
    <t>КП "Славутське житлово-комунальне об`єднання"</t>
  </si>
  <si>
    <t>КП по експлуатації теплового господарства "Тепловик" Старокостянтинівської міської ради</t>
  </si>
  <si>
    <t>МКП "Хмельницьктеплокомуненерго"</t>
  </si>
  <si>
    <t>ТОВ "Шепетівка Енергоінвест"</t>
  </si>
  <si>
    <t>Ватутінське комунальне підприємство теплових мереж</t>
  </si>
  <si>
    <t>ДП "Теплокомуненерго" ПАТ "Монастирищенський ордена Трудового Червоного Прапора машинобудівний завод"</t>
  </si>
  <si>
    <t>Канівське КПТМ</t>
  </si>
  <si>
    <t>КПТМ "Черкаситеплокомуненерго" Черкаської міської ради</t>
  </si>
  <si>
    <t>ПАТ "Черкаське хімволокно"</t>
  </si>
  <si>
    <t>ТОВ "Сміла Енергоінвест"</t>
  </si>
  <si>
    <t>ТОВ "Смілаенергопромтранс"</t>
  </si>
  <si>
    <t>УКП "Уманьтеплокомуненерго"</t>
  </si>
  <si>
    <t>МКП "Чернівцітеплокомуненерго"</t>
  </si>
  <si>
    <t>КП "Прилукитепловодопостачання" Прилуцької міської ради Чернігівської області</t>
  </si>
  <si>
    <t>ПАТ "Облтеплокомуненерго"</t>
  </si>
  <si>
    <t>ТОВ "НіжинТеплоМережі"</t>
  </si>
  <si>
    <t>ТОВ фірма "ТехНова" (Чернігівська ТЕЦ)</t>
  </si>
  <si>
    <t>Рівненська область</t>
  </si>
  <si>
    <t>Львiвська область</t>
  </si>
  <si>
    <t>Івано-Франківська область</t>
  </si>
  <si>
    <t>Термін експуатації Вашого старого котла</t>
  </si>
  <si>
    <t>Приблизні грошові витрати за опалювальний період, новий котел</t>
  </si>
  <si>
    <t>Івано Франківська область</t>
  </si>
  <si>
    <t>Середня потужність, кВт</t>
  </si>
  <si>
    <t>Виберіть тип фінансування</t>
  </si>
  <si>
    <t>Тип фінансування</t>
  </si>
  <si>
    <t>Власні кошти</t>
  </si>
  <si>
    <t>Кредитні кошти</t>
  </si>
  <si>
    <t>Вартість котла</t>
  </si>
  <si>
    <t>Банк, 3%</t>
  </si>
  <si>
    <t>Ставка кредиту, 25% - три місяці</t>
  </si>
  <si>
    <t>Сума</t>
  </si>
  <si>
    <t>Норма витрати теплоти для будівель, Гкал/м2</t>
  </si>
  <si>
    <t>Якщо у Вас центральне опалення, оберіть обслуговуючу компанію</t>
  </si>
  <si>
    <t>Інший</t>
  </si>
  <si>
    <t>Виберіть із випадаючого списку</t>
  </si>
  <si>
    <t>Введіть параметр</t>
  </si>
  <si>
    <t>Відшкодування коштів державою</t>
  </si>
  <si>
    <t>грн.</t>
  </si>
  <si>
    <t>Виберіть строк кредитування</t>
  </si>
  <si>
    <t>місяців</t>
  </si>
  <si>
    <t>Строк кредиту</t>
  </si>
  <si>
    <t>Кредит</t>
  </si>
  <si>
    <t>Тіло кредиту</t>
  </si>
  <si>
    <t>Банк, 3%, 25% річних</t>
  </si>
  <si>
    <t>Универсал</t>
  </si>
  <si>
    <t>Колви КТ  Тsі</t>
  </si>
  <si>
    <t>Колви КТ  ТS</t>
  </si>
  <si>
    <t>Данко - В -У</t>
  </si>
  <si>
    <t>Маяк КС</t>
  </si>
  <si>
    <t>АТЕМ Житомир ВПГ</t>
  </si>
  <si>
    <t xml:space="preserve">Вулкан М </t>
  </si>
  <si>
    <t xml:space="preserve">Protherm Бизон </t>
  </si>
  <si>
    <t xml:space="preserve">LAMBORGHINI EXA </t>
  </si>
  <si>
    <t xml:space="preserve">Dakon Daline PTE </t>
  </si>
  <si>
    <t xml:space="preserve">Термо Бар Ж7 КЕП </t>
  </si>
  <si>
    <t>Kospel EKCO.R2</t>
  </si>
  <si>
    <t xml:space="preserve">Termia КОП </t>
  </si>
  <si>
    <t>PROTHERM K</t>
  </si>
  <si>
    <t xml:space="preserve">Візит KOS - Econom </t>
  </si>
  <si>
    <t>Данко ТН</t>
  </si>
  <si>
    <t>Корді АОТВ В</t>
  </si>
  <si>
    <t xml:space="preserve">Отавва КТ </t>
  </si>
  <si>
    <t>Ціна котла + встановлення, грн</t>
  </si>
  <si>
    <t>Приблизні грошові витрати за опалювальний період, старий котел або централізоване опалення</t>
  </si>
  <si>
    <t>Кількість років (опалювальних періодів)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</si>
</sst>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4" borderId="1" xfId="0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6" borderId="1" xfId="0" applyFill="1" applyBorder="1"/>
    <xf numFmtId="0" fontId="0" fillId="6" borderId="0" xfId="0" applyFill="1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1" xfId="0" applyBorder="1"/>
    <xf numFmtId="0" fontId="0" fillId="0" borderId="1" xfId="0" applyFill="1" applyBorder="1" applyAlignment="1">
      <alignment horizontal="left"/>
    </xf>
    <xf numFmtId="0" fontId="8" fillId="0" borderId="0" xfId="0" applyFont="1"/>
    <xf numFmtId="0" fontId="8" fillId="0" borderId="1" xfId="0" applyFont="1" applyBorder="1"/>
    <xf numFmtId="0" fontId="5" fillId="0" borderId="1" xfId="0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4" fillId="0" borderId="0" xfId="0" applyNumberFormat="1" applyFont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/>
    <xf numFmtId="0" fontId="8" fillId="7" borderId="1" xfId="0" applyFont="1" applyFill="1" applyBorder="1"/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/>
    <xf numFmtId="0" fontId="0" fillId="7" borderId="1" xfId="0" applyFill="1" applyBorder="1" applyAlignment="1">
      <alignment horizontal="center" vertical="center"/>
    </xf>
    <xf numFmtId="2" fontId="0" fillId="6" borderId="1" xfId="0" applyNumberFormat="1" applyFill="1" applyBorder="1"/>
    <xf numFmtId="0" fontId="8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right"/>
    </xf>
    <xf numFmtId="2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9" borderId="1" xfId="0" applyFill="1" applyBorder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1" fontId="0" fillId="0" borderId="1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 vertical="center"/>
      <protection locked="0" hidden="1"/>
    </xf>
    <xf numFmtId="0" fontId="2" fillId="9" borderId="9" xfId="0" applyFont="1" applyFill="1" applyBorder="1" applyAlignment="1" applyProtection="1">
      <alignment horizontal="center" vertical="center"/>
      <protection locked="0" hidden="1"/>
    </xf>
    <xf numFmtId="0" fontId="2" fillId="9" borderId="10" xfId="0" applyFont="1" applyFill="1" applyBorder="1" applyAlignment="1" applyProtection="1">
      <alignment horizontal="center" vertical="center"/>
      <protection locked="0"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/>
      <protection locked="0" hidden="1"/>
    </xf>
    <xf numFmtId="0" fontId="2" fillId="3" borderId="9" xfId="0" applyFont="1" applyFill="1" applyBorder="1" applyAlignment="1" applyProtection="1">
      <alignment horizontal="center"/>
      <protection locked="0"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Protection="1">
      <protection hidden="1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3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color theme="0"/>
      </font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color theme="0"/>
      </font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color theme="0"/>
      </font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color theme="0"/>
      </font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Графік зміни терміну окупності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91014686993953"/>
          <c:y val="0.16575240594925633"/>
          <c:w val="0.8243522644775787"/>
          <c:h val="0.56581765820939334"/>
        </c:manualLayout>
      </c:layout>
      <c:lineChart>
        <c:grouping val="standard"/>
        <c:varyColors val="0"/>
        <c:ser>
          <c:idx val="0"/>
          <c:order val="0"/>
          <c:cat>
            <c:numRef>
              <c:f>Графіки!$B$7:$B$16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Графіки!$K$7:$K$16</c:f>
              <c:numCache>
                <c:formatCode>General</c:formatCode>
                <c:ptCount val="10"/>
                <c:pt idx="0">
                  <c:v>2.9501993821736514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22752"/>
        <c:axId val="114541312"/>
      </c:lineChart>
      <c:catAx>
        <c:axId val="11452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Рік</a:t>
                </a:r>
              </a:p>
            </c:rich>
          </c:tx>
          <c:layout>
            <c:manualLayout>
              <c:xMode val="edge"/>
              <c:yMode val="edge"/>
              <c:x val="0.49263307086614178"/>
              <c:y val="0.883310002916301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14541312"/>
        <c:crosses val="autoZero"/>
        <c:auto val="1"/>
        <c:lblAlgn val="ctr"/>
        <c:lblOffset val="100"/>
        <c:noMultiLvlLbl val="0"/>
      </c:catAx>
      <c:valAx>
        <c:axId val="11454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145227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Графік росту тарифів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38596380271742"/>
          <c:y val="0.15941458773964023"/>
          <c:w val="0.81392825896762899"/>
          <c:h val="0.56581765820939356"/>
        </c:manualLayout>
      </c:layout>
      <c:lineChart>
        <c:grouping val="standard"/>
        <c:varyColors val="0"/>
        <c:ser>
          <c:idx val="0"/>
          <c:order val="0"/>
          <c:cat>
            <c:numRef>
              <c:f>Графіки!$B$7:$B$16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Графіки!$E$7:$E$16</c:f>
              <c:numCache>
                <c:formatCode>General</c:formatCode>
                <c:ptCount val="10"/>
                <c:pt idx="0" formatCode="0.00">
                  <c:v>7.1879999999999997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16000"/>
        <c:axId val="108017920"/>
      </c:lineChart>
      <c:catAx>
        <c:axId val="1080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Рік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08017920"/>
        <c:crosses val="autoZero"/>
        <c:auto val="0"/>
        <c:lblAlgn val="ctr"/>
        <c:lblOffset val="100"/>
        <c:noMultiLvlLbl val="0"/>
      </c:catAx>
      <c:valAx>
        <c:axId val="1080179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0801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20108</xdr:colOff>
      <xdr:row>2</xdr:row>
      <xdr:rowOff>83609</xdr:rowOff>
    </xdr:from>
    <xdr:to>
      <xdr:col>5</xdr:col>
      <xdr:colOff>182033</xdr:colOff>
      <xdr:row>2</xdr:row>
      <xdr:rowOff>243417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97525" y="538692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11906</xdr:colOff>
      <xdr:row>15</xdr:row>
      <xdr:rowOff>130968</xdr:rowOff>
    </xdr:from>
    <xdr:to>
      <xdr:col>5</xdr:col>
      <xdr:colOff>173831</xdr:colOff>
      <xdr:row>15</xdr:row>
      <xdr:rowOff>290776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62812" y="3583781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10547</xdr:colOff>
      <xdr:row>19</xdr:row>
      <xdr:rowOff>69736</xdr:rowOff>
    </xdr:from>
    <xdr:to>
      <xdr:col>5</xdr:col>
      <xdr:colOff>172472</xdr:colOff>
      <xdr:row>19</xdr:row>
      <xdr:rowOff>229544</xdr:rowOff>
    </xdr:to>
    <xdr:pic>
      <xdr:nvPicPr>
        <xdr:cNvPr id="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61453" y="4498861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2285999</xdr:colOff>
      <xdr:row>23</xdr:row>
      <xdr:rowOff>59531</xdr:rowOff>
    </xdr:from>
    <xdr:to>
      <xdr:col>5</xdr:col>
      <xdr:colOff>161924</xdr:colOff>
      <xdr:row>23</xdr:row>
      <xdr:rowOff>219339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0905" y="5393531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11906</xdr:colOff>
      <xdr:row>29</xdr:row>
      <xdr:rowOff>59532</xdr:rowOff>
    </xdr:from>
    <xdr:to>
      <xdr:col>5</xdr:col>
      <xdr:colOff>173831</xdr:colOff>
      <xdr:row>29</xdr:row>
      <xdr:rowOff>219340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0" y="6786563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71438</xdr:rowOff>
    </xdr:from>
    <xdr:to>
      <xdr:col>5</xdr:col>
      <xdr:colOff>161925</xdr:colOff>
      <xdr:row>33</xdr:row>
      <xdr:rowOff>231246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65344" y="7631907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11906</xdr:colOff>
      <xdr:row>39</xdr:row>
      <xdr:rowOff>71437</xdr:rowOff>
    </xdr:from>
    <xdr:to>
      <xdr:col>5</xdr:col>
      <xdr:colOff>173831</xdr:colOff>
      <xdr:row>39</xdr:row>
      <xdr:rowOff>231245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0" y="9001125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21167</xdr:colOff>
      <xdr:row>45</xdr:row>
      <xdr:rowOff>63500</xdr:rowOff>
    </xdr:from>
    <xdr:to>
      <xdr:col>4</xdr:col>
      <xdr:colOff>183092</xdr:colOff>
      <xdr:row>45</xdr:row>
      <xdr:rowOff>223308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0" y="10329333"/>
          <a:ext cx="161925" cy="1598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21</xdr:row>
      <xdr:rowOff>123825</xdr:rowOff>
    </xdr:from>
    <xdr:to>
      <xdr:col>15</xdr:col>
      <xdr:colOff>161925</xdr:colOff>
      <xdr:row>38</xdr:row>
      <xdr:rowOff>114300</xdr:rowOff>
    </xdr:to>
    <xdr:graphicFrame macro="">
      <xdr:nvGraphicFramePr>
        <xdr:cNvPr id="2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21</xdr:row>
      <xdr:rowOff>9525</xdr:rowOff>
    </xdr:from>
    <xdr:to>
      <xdr:col>6</xdr:col>
      <xdr:colOff>1123950</xdr:colOff>
      <xdr:row>39</xdr:row>
      <xdr:rowOff>38100</xdr:rowOff>
    </xdr:to>
    <xdr:graphicFrame macro="">
      <xdr:nvGraphicFramePr>
        <xdr:cNvPr id="3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ketus.com.ua/ua/product/dakon-daline-pte-18/" TargetMode="External"/><Relationship Id="rId2" Type="http://schemas.openxmlformats.org/officeDocument/2006/relationships/hyperlink" Target="http://teplo-klimat.com.ua/otopitelnaya-tehnika/gasovye-kolonki/%D0%90%D0%A2%D0%95%D0%9C-%D0%96%D0%B8%D1%82%D0%BE%D0%BC%D0%B8%D1%80-%D0%92%D0%9F%D0%93-16.html" TargetMode="External"/><Relationship Id="rId1" Type="http://schemas.openxmlformats.org/officeDocument/2006/relationships/hyperlink" Target="http://www.energosvit.com.ua/index.php?page=menu3_2&amp;id=5435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6"/>
  <sheetViews>
    <sheetView tabSelected="1" view="pageBreakPreview" topLeftCell="A19" zoomScale="80" zoomScaleNormal="90" zoomScaleSheetLayoutView="80" workbookViewId="0">
      <selection activeCell="E61" sqref="E61"/>
    </sheetView>
  </sheetViews>
  <sheetFormatPr defaultRowHeight="15" x14ac:dyDescent="0.25"/>
  <cols>
    <col min="1" max="1" width="28.5703125" style="69" customWidth="1"/>
    <col min="2" max="2" width="23.85546875" style="69" customWidth="1"/>
    <col min="3" max="3" width="19.5703125" style="69" customWidth="1"/>
    <col min="4" max="4" width="20.5703125" style="69" customWidth="1"/>
    <col min="5" max="5" width="34.28515625" style="69" customWidth="1"/>
    <col min="6" max="6" width="7" style="69" customWidth="1"/>
    <col min="7" max="7" width="10.5703125" style="69" customWidth="1"/>
    <col min="8" max="8" width="30" style="69" customWidth="1"/>
    <col min="9" max="9" width="18.85546875" style="69" customWidth="1"/>
    <col min="10" max="10" width="12.85546875" style="69" customWidth="1"/>
    <col min="11" max="11" width="20.42578125" style="69" customWidth="1"/>
    <col min="12" max="12" width="10.85546875" style="69" customWidth="1"/>
    <col min="13" max="13" width="15.28515625" style="69" customWidth="1"/>
    <col min="14" max="14" width="16.5703125" style="69" customWidth="1"/>
    <col min="15" max="15" width="9.140625" style="69"/>
    <col min="16" max="16" width="16.140625" style="69" customWidth="1"/>
    <col min="17" max="16384" width="9.140625" style="69"/>
  </cols>
  <sheetData>
    <row r="1" spans="1:8" ht="21" customHeight="1" x14ac:dyDescent="0.25">
      <c r="A1" s="87" t="s">
        <v>34</v>
      </c>
      <c r="B1" s="87"/>
      <c r="C1" s="87"/>
      <c r="D1" s="87"/>
      <c r="E1" s="87"/>
      <c r="F1" s="67"/>
      <c r="G1" s="68"/>
      <c r="H1" s="69" t="s">
        <v>325</v>
      </c>
    </row>
    <row r="2" spans="1:8" ht="15" customHeight="1" x14ac:dyDescent="0.25">
      <c r="A2" s="87"/>
      <c r="B2" s="87"/>
      <c r="C2" s="87"/>
      <c r="D2" s="87"/>
      <c r="E2" s="87"/>
      <c r="F2" s="67"/>
      <c r="G2" s="67"/>
    </row>
    <row r="3" spans="1:8" ht="21" x14ac:dyDescent="0.35">
      <c r="A3" s="83" t="s">
        <v>229</v>
      </c>
      <c r="B3" s="83"/>
      <c r="C3" s="83"/>
      <c r="D3" s="83"/>
      <c r="E3" s="83"/>
      <c r="F3" s="67"/>
      <c r="G3" s="70"/>
      <c r="H3" s="69" t="s">
        <v>326</v>
      </c>
    </row>
    <row r="4" spans="1:8" x14ac:dyDescent="0.25">
      <c r="A4" s="88" t="s">
        <v>62</v>
      </c>
      <c r="B4" s="88"/>
      <c r="D4" s="88" t="s">
        <v>63</v>
      </c>
      <c r="E4" s="88"/>
      <c r="F4" s="67"/>
      <c r="G4" s="67"/>
    </row>
    <row r="5" spans="1:8" ht="15" customHeight="1" x14ac:dyDescent="0.25">
      <c r="A5" s="89">
        <f>VLOOKUP(A3,Регіони!A2:D27,4,0)</f>
        <v>176</v>
      </c>
      <c r="B5" s="89"/>
      <c r="D5" s="90">
        <f>VLOOKUP(A3,Регіони!A2:D27,3,0)</f>
        <v>-0.1</v>
      </c>
      <c r="E5" s="91"/>
      <c r="F5" s="67"/>
      <c r="G5" s="67"/>
    </row>
    <row r="6" spans="1:8" ht="15" customHeight="1" x14ac:dyDescent="0.25">
      <c r="F6" s="67"/>
      <c r="G6" s="67"/>
    </row>
    <row r="7" spans="1:8" ht="21" x14ac:dyDescent="0.25">
      <c r="A7" s="95" t="s">
        <v>32</v>
      </c>
      <c r="B7" s="96"/>
      <c r="C7" s="96"/>
      <c r="D7" s="96"/>
      <c r="E7" s="97"/>
      <c r="F7" s="67"/>
      <c r="G7" s="67"/>
    </row>
    <row r="8" spans="1:8" ht="21.75" customHeight="1" x14ac:dyDescent="0.25">
      <c r="A8" s="92">
        <v>60</v>
      </c>
      <c r="B8" s="93"/>
      <c r="C8" s="93"/>
      <c r="D8" s="94"/>
      <c r="E8" s="68" t="s">
        <v>33</v>
      </c>
      <c r="F8" s="67"/>
      <c r="G8" s="67"/>
    </row>
    <row r="9" spans="1:8" ht="15.75" customHeight="1" x14ac:dyDescent="0.25">
      <c r="F9" s="67"/>
      <c r="G9" s="67"/>
    </row>
    <row r="10" spans="1:8" ht="21" customHeight="1" x14ac:dyDescent="0.25">
      <c r="A10" s="100" t="s">
        <v>310</v>
      </c>
      <c r="B10" s="101"/>
      <c r="C10" s="101"/>
      <c r="D10" s="101"/>
      <c r="E10" s="102"/>
      <c r="F10" s="67"/>
      <c r="G10" s="67"/>
    </row>
    <row r="11" spans="1:8" ht="15" customHeight="1" x14ac:dyDescent="0.25">
      <c r="A11" s="103"/>
      <c r="B11" s="104"/>
      <c r="C11" s="104"/>
      <c r="D11" s="104"/>
      <c r="E11" s="105"/>
      <c r="F11" s="67"/>
      <c r="G11" s="67"/>
    </row>
    <row r="12" spans="1:8" ht="21.75" customHeight="1" x14ac:dyDescent="0.25">
      <c r="A12" s="92">
        <v>10</v>
      </c>
      <c r="B12" s="93"/>
      <c r="C12" s="93"/>
      <c r="D12" s="94"/>
      <c r="E12" s="68" t="s">
        <v>27</v>
      </c>
      <c r="F12" s="67"/>
      <c r="G12" s="67"/>
    </row>
    <row r="13" spans="1:8" ht="21" x14ac:dyDescent="0.25">
      <c r="D13" s="71"/>
      <c r="E13" s="71"/>
      <c r="F13" s="67"/>
      <c r="G13" s="67"/>
    </row>
    <row r="14" spans="1:8" ht="21" customHeight="1" x14ac:dyDescent="0.25">
      <c r="A14" s="87" t="s">
        <v>82</v>
      </c>
      <c r="B14" s="106"/>
      <c r="C14" s="106"/>
      <c r="D14" s="106"/>
      <c r="E14" s="106"/>
      <c r="F14" s="67"/>
      <c r="G14" s="67"/>
    </row>
    <row r="15" spans="1:8" ht="15" customHeight="1" x14ac:dyDescent="0.25">
      <c r="A15" s="106"/>
      <c r="B15" s="106"/>
      <c r="C15" s="106"/>
      <c r="D15" s="106"/>
      <c r="E15" s="106"/>
      <c r="F15" s="67"/>
      <c r="G15" s="67"/>
    </row>
    <row r="16" spans="1:8" ht="26.25" customHeight="1" x14ac:dyDescent="0.35">
      <c r="A16" s="98" t="s">
        <v>15</v>
      </c>
      <c r="B16" s="99"/>
      <c r="C16" s="99"/>
      <c r="D16" s="99"/>
      <c r="E16" s="99"/>
      <c r="F16" s="67"/>
      <c r="G16" s="67"/>
    </row>
    <row r="17" spans="1:7" x14ac:dyDescent="0.25">
      <c r="F17" s="67"/>
      <c r="G17" s="67"/>
    </row>
    <row r="18" spans="1:7" x14ac:dyDescent="0.25">
      <c r="A18" s="87" t="s">
        <v>323</v>
      </c>
      <c r="B18" s="106"/>
      <c r="C18" s="106"/>
      <c r="D18" s="106"/>
      <c r="E18" s="106"/>
      <c r="F18" s="67"/>
      <c r="G18" s="67"/>
    </row>
    <row r="19" spans="1:7" x14ac:dyDescent="0.25">
      <c r="A19" s="106"/>
      <c r="B19" s="106"/>
      <c r="C19" s="106"/>
      <c r="D19" s="106"/>
      <c r="E19" s="106"/>
      <c r="F19" s="67"/>
      <c r="G19" s="67"/>
    </row>
    <row r="20" spans="1:7" ht="21" x14ac:dyDescent="0.35">
      <c r="A20" s="98" t="s">
        <v>130</v>
      </c>
      <c r="B20" s="99"/>
      <c r="C20" s="99"/>
      <c r="D20" s="99"/>
      <c r="E20" s="99"/>
      <c r="F20" s="67"/>
      <c r="G20" s="67"/>
    </row>
    <row r="21" spans="1:7" x14ac:dyDescent="0.25">
      <c r="F21" s="67"/>
      <c r="G21" s="67"/>
    </row>
    <row r="22" spans="1:7" x14ac:dyDescent="0.25">
      <c r="A22" s="87" t="s">
        <v>19</v>
      </c>
      <c r="B22" s="87"/>
      <c r="C22" s="87"/>
      <c r="D22" s="87"/>
      <c r="E22" s="87"/>
      <c r="F22" s="67"/>
      <c r="G22" s="67"/>
    </row>
    <row r="23" spans="1:7" x14ac:dyDescent="0.25">
      <c r="A23" s="87"/>
      <c r="B23" s="87"/>
      <c r="C23" s="87"/>
      <c r="D23" s="87"/>
      <c r="E23" s="87"/>
      <c r="F23" s="67"/>
      <c r="G23" s="67"/>
    </row>
    <row r="24" spans="1:7" ht="21" x14ac:dyDescent="0.35">
      <c r="A24" s="98" t="s">
        <v>337</v>
      </c>
      <c r="B24" s="99"/>
      <c r="C24" s="99"/>
      <c r="D24" s="99"/>
      <c r="E24" s="99"/>
      <c r="F24" s="67"/>
      <c r="G24" s="67"/>
    </row>
    <row r="25" spans="1:7" x14ac:dyDescent="0.25">
      <c r="A25" s="72" t="s">
        <v>313</v>
      </c>
      <c r="B25" s="72" t="s">
        <v>2</v>
      </c>
      <c r="C25" s="72" t="s">
        <v>5</v>
      </c>
      <c r="D25" s="73" t="s">
        <v>21</v>
      </c>
      <c r="E25" s="73" t="s">
        <v>4</v>
      </c>
      <c r="F25" s="67"/>
      <c r="G25" s="67"/>
    </row>
    <row r="26" spans="1:7" ht="29.25" customHeight="1" x14ac:dyDescent="0.25">
      <c r="A26" s="74">
        <f>IF(A16="Централізоване опалення","-",ROUNDUP(Розрахунки!E3,0))</f>
        <v>6</v>
      </c>
      <c r="B26" s="74">
        <f>IF(A16="Централізоване опалення","-",VLOOKUP($A$24,Дані!$A$1:$F$65,3,0))</f>
        <v>80</v>
      </c>
      <c r="C26" s="74">
        <f>IF(A16="Централізоване опалення","90",VLOOKUP($A$24,Дані!$A$1:$F$65,4,0))</f>
        <v>92</v>
      </c>
      <c r="D26" s="75">
        <f>IF($A$16="Централізоване опалення","-",VLOOKUP($A$24,Дані!$A$1:$F$65,5,0)*(A26/20))</f>
        <v>0.55500000000000005</v>
      </c>
      <c r="E26" s="74">
        <f>ROUNDUP(IF(A16="Централізоване опалення","-",VLOOKUP($A$24,Дані!$A$1:$F$65,6,0)*((H9/20)+0.2)),0)</f>
        <v>1120</v>
      </c>
      <c r="F26" s="67"/>
      <c r="G26" s="67"/>
    </row>
    <row r="27" spans="1:7" x14ac:dyDescent="0.25">
      <c r="F27" s="67"/>
      <c r="G27" s="67"/>
    </row>
    <row r="28" spans="1:7" x14ac:dyDescent="0.25">
      <c r="A28" s="87" t="s">
        <v>20</v>
      </c>
      <c r="B28" s="87"/>
      <c r="C28" s="87"/>
      <c r="D28" s="87"/>
      <c r="E28" s="87"/>
      <c r="F28" s="67"/>
      <c r="G28" s="67"/>
    </row>
    <row r="29" spans="1:7" x14ac:dyDescent="0.25">
      <c r="A29" s="87"/>
      <c r="B29" s="87"/>
      <c r="C29" s="87"/>
      <c r="D29" s="87"/>
      <c r="E29" s="87"/>
      <c r="F29" s="67"/>
      <c r="G29" s="67"/>
    </row>
    <row r="30" spans="1:7" ht="21" x14ac:dyDescent="0.35">
      <c r="A30" s="83" t="s">
        <v>18</v>
      </c>
      <c r="B30" s="83"/>
      <c r="C30" s="83"/>
      <c r="D30" s="83"/>
      <c r="E30" s="83"/>
      <c r="F30" s="67"/>
      <c r="G30" s="67"/>
    </row>
    <row r="31" spans="1:7" x14ac:dyDescent="0.25">
      <c r="F31" s="67"/>
      <c r="G31" s="67"/>
    </row>
    <row r="32" spans="1:7" x14ac:dyDescent="0.25">
      <c r="A32" s="87" t="s">
        <v>22</v>
      </c>
      <c r="B32" s="87"/>
      <c r="C32" s="87"/>
      <c r="D32" s="87"/>
      <c r="E32" s="87"/>
      <c r="F32" s="67"/>
      <c r="G32" s="67"/>
    </row>
    <row r="33" spans="1:17" x14ac:dyDescent="0.25">
      <c r="A33" s="87"/>
      <c r="B33" s="87"/>
      <c r="C33" s="87"/>
      <c r="D33" s="87"/>
      <c r="E33" s="87"/>
      <c r="F33" s="67"/>
      <c r="G33" s="67"/>
    </row>
    <row r="34" spans="1:17" ht="21" x14ac:dyDescent="0.35">
      <c r="A34" s="83" t="s">
        <v>121</v>
      </c>
      <c r="B34" s="83"/>
      <c r="C34" s="83"/>
      <c r="D34" s="83"/>
      <c r="E34" s="83"/>
      <c r="F34" s="67"/>
      <c r="G34" s="67"/>
    </row>
    <row r="35" spans="1:17" x14ac:dyDescent="0.25">
      <c r="A35" s="72" t="s">
        <v>313</v>
      </c>
      <c r="B35" s="72" t="s">
        <v>2</v>
      </c>
      <c r="C35" s="72" t="s">
        <v>5</v>
      </c>
      <c r="D35" s="73" t="s">
        <v>21</v>
      </c>
      <c r="E35" s="73" t="s">
        <v>353</v>
      </c>
      <c r="F35" s="67"/>
      <c r="G35" s="67"/>
    </row>
    <row r="36" spans="1:17" ht="27" customHeight="1" x14ac:dyDescent="0.25">
      <c r="A36" s="74">
        <f>ROUNDUP(Розрахунки!E3,0)</f>
        <v>6</v>
      </c>
      <c r="B36" s="76">
        <f>VLOOKUP(A34,Дані!$A$1:$F$65,3,0)</f>
        <v>100</v>
      </c>
      <c r="C36" s="74">
        <f>VLOOKUP(A34,Дані!$A$1:$F$65,4,0)</f>
        <v>85</v>
      </c>
      <c r="D36" s="75">
        <f>IF(A30="Електричний котел","-",VLOOKUP($A$34,Дані!$A$1:$F$65,5,0)*(A36/20))</f>
        <v>0.69</v>
      </c>
      <c r="E36" s="74">
        <f>ROUNDUP((VLOOKUP(A34,Дані!$A$1:$F$65,6,0))*((A36/20))+3000,0)</f>
        <v>12000</v>
      </c>
      <c r="F36" s="67"/>
      <c r="G36" s="67"/>
      <c r="I36" s="77"/>
      <c r="J36" s="77"/>
      <c r="K36" s="77"/>
      <c r="L36" s="77"/>
      <c r="M36" s="77"/>
      <c r="N36" s="77"/>
      <c r="O36" s="77"/>
      <c r="Q36" s="77"/>
    </row>
    <row r="37" spans="1:17" x14ac:dyDescent="0.25">
      <c r="F37" s="67"/>
      <c r="G37" s="67"/>
      <c r="I37" s="77"/>
      <c r="J37" s="77"/>
      <c r="K37" s="77"/>
      <c r="L37" s="77"/>
      <c r="M37" s="77"/>
      <c r="N37" s="77"/>
      <c r="O37" s="77"/>
      <c r="Q37" s="77"/>
    </row>
    <row r="38" spans="1:17" x14ac:dyDescent="0.25">
      <c r="A38" s="84" t="s">
        <v>314</v>
      </c>
      <c r="B38" s="84"/>
      <c r="C38" s="84"/>
      <c r="D38" s="84"/>
      <c r="E38" s="84"/>
      <c r="F38" s="67"/>
      <c r="G38" s="67"/>
      <c r="I38" s="77"/>
      <c r="J38" s="77"/>
      <c r="K38" s="77"/>
      <c r="L38" s="77"/>
      <c r="M38" s="77"/>
      <c r="N38" s="77"/>
      <c r="O38" s="77"/>
      <c r="Q38" s="77"/>
    </row>
    <row r="39" spans="1:17" x14ac:dyDescent="0.25">
      <c r="A39" s="84"/>
      <c r="B39" s="84"/>
      <c r="C39" s="84"/>
      <c r="D39" s="84"/>
      <c r="E39" s="84"/>
      <c r="F39" s="67"/>
      <c r="G39" s="67"/>
      <c r="Q39" s="77"/>
    </row>
    <row r="40" spans="1:17" ht="21" x14ac:dyDescent="0.35">
      <c r="A40" s="83" t="s">
        <v>317</v>
      </c>
      <c r="B40" s="83"/>
      <c r="C40" s="83"/>
      <c r="D40" s="83"/>
      <c r="E40" s="83"/>
      <c r="F40" s="67"/>
      <c r="G40" s="67"/>
      <c r="Q40" s="77"/>
    </row>
    <row r="41" spans="1:17" x14ac:dyDescent="0.25">
      <c r="F41" s="67"/>
      <c r="G41" s="67"/>
    </row>
    <row r="42" spans="1:17" ht="21" x14ac:dyDescent="0.25">
      <c r="A42" s="84" t="s">
        <v>327</v>
      </c>
      <c r="B42" s="84"/>
      <c r="C42" s="84"/>
      <c r="D42" s="84"/>
      <c r="E42" s="84"/>
      <c r="F42" s="67"/>
      <c r="G42" s="67"/>
    </row>
    <row r="43" spans="1:17" ht="21" x14ac:dyDescent="0.35">
      <c r="A43" s="86">
        <f>IF(AND(A30="Газовий котел",A40="Кредитні кошти"),"Кошти не відшкодовуються",ROUNDUP(IF((Калькулятор!E36-3000)&lt;25000,(Калькулятор!E36-3000)*0.2,5000),0))</f>
        <v>1800</v>
      </c>
      <c r="B43" s="86"/>
      <c r="C43" s="86"/>
      <c r="D43" s="86"/>
      <c r="E43" s="78" t="s">
        <v>328</v>
      </c>
      <c r="F43" s="67"/>
      <c r="G43" s="67"/>
    </row>
    <row r="44" spans="1:17" x14ac:dyDescent="0.25">
      <c r="F44" s="67"/>
      <c r="G44" s="67"/>
    </row>
    <row r="45" spans="1:17" ht="21" x14ac:dyDescent="0.25">
      <c r="A45" s="84" t="s">
        <v>329</v>
      </c>
      <c r="B45" s="84"/>
      <c r="C45" s="84"/>
      <c r="D45" s="84"/>
      <c r="E45" s="84"/>
      <c r="F45" s="67"/>
      <c r="G45" s="67"/>
    </row>
    <row r="46" spans="1:17" ht="21" x14ac:dyDescent="0.35">
      <c r="A46" s="83">
        <v>24</v>
      </c>
      <c r="B46" s="83"/>
      <c r="C46" s="83"/>
      <c r="D46" s="83"/>
      <c r="E46" s="78" t="s">
        <v>330</v>
      </c>
      <c r="F46" s="67"/>
      <c r="G46" s="67"/>
    </row>
    <row r="47" spans="1:17" x14ac:dyDescent="0.25">
      <c r="F47" s="67"/>
      <c r="G47" s="67"/>
    </row>
    <row r="48" spans="1:17" ht="19.5" x14ac:dyDescent="0.25">
      <c r="A48" s="85" t="s">
        <v>354</v>
      </c>
      <c r="B48" s="85"/>
      <c r="C48" s="85"/>
      <c r="D48" s="85"/>
      <c r="E48" s="85"/>
      <c r="F48" s="67"/>
      <c r="G48" s="67"/>
    </row>
    <row r="49" spans="1:7" ht="21" x14ac:dyDescent="0.35">
      <c r="A49" s="82">
        <f>Розрахунки!P7</f>
        <v>11552.222321582116</v>
      </c>
      <c r="B49" s="82"/>
      <c r="C49" s="82"/>
      <c r="D49" s="82"/>
      <c r="E49" s="78" t="s">
        <v>24</v>
      </c>
      <c r="F49" s="67"/>
      <c r="G49" s="67"/>
    </row>
    <row r="50" spans="1:7" x14ac:dyDescent="0.25">
      <c r="F50" s="67"/>
      <c r="G50" s="67"/>
    </row>
    <row r="51" spans="1:7" ht="21" x14ac:dyDescent="0.25">
      <c r="A51" s="80" t="s">
        <v>311</v>
      </c>
      <c r="B51" s="80"/>
      <c r="C51" s="80"/>
      <c r="D51" s="80"/>
      <c r="E51" s="80"/>
      <c r="F51" s="67"/>
      <c r="G51" s="67"/>
    </row>
    <row r="52" spans="1:7" ht="21" x14ac:dyDescent="0.35">
      <c r="A52" s="82">
        <f>IF(AND(A30="Газовий котел", A40="Кредитні кошти"),"Кредит не видається",Розрахунки!P12)</f>
        <v>6265.1762682717108</v>
      </c>
      <c r="B52" s="82"/>
      <c r="C52" s="82"/>
      <c r="D52" s="82"/>
      <c r="E52" s="78" t="s">
        <v>24</v>
      </c>
      <c r="F52" s="67"/>
      <c r="G52" s="67"/>
    </row>
    <row r="54" spans="1:7" ht="21" x14ac:dyDescent="0.25">
      <c r="A54" s="80" t="s">
        <v>25</v>
      </c>
      <c r="B54" s="80"/>
      <c r="C54" s="80"/>
      <c r="D54" s="80"/>
      <c r="E54" s="80"/>
    </row>
    <row r="55" spans="1:7" ht="21" x14ac:dyDescent="0.35">
      <c r="A55" s="82">
        <f>IF(AND(A30="Газовий котел",A40="Кредитні кошти"),"Кредит не видається",IF((A49-A52)&lt;0,"Даний котел не приносить Вам економію",A49-A52))</f>
        <v>5287.0460533104051</v>
      </c>
      <c r="B55" s="82"/>
      <c r="C55" s="82"/>
      <c r="D55" s="82"/>
      <c r="E55" s="78" t="s">
        <v>24</v>
      </c>
    </row>
    <row r="57" spans="1:7" ht="21" x14ac:dyDescent="0.25">
      <c r="A57" s="80" t="s">
        <v>26</v>
      </c>
      <c r="B57" s="80"/>
      <c r="C57" s="80"/>
      <c r="D57" s="80"/>
      <c r="E57" s="80"/>
    </row>
    <row r="58" spans="1:7" ht="38.25" x14ac:dyDescent="0.35">
      <c r="A58" s="81">
        <f>IF(AND(A30="Газовий котел",A40="Кредитні кошти"),"Кредит не видається",IF(A55="Даний котел не приносить Вам економію","неокупний_варіант",Розрахунки!F18/A55))</f>
        <v>2.9501993821736514</v>
      </c>
      <c r="B58" s="81"/>
      <c r="C58" s="81"/>
      <c r="D58" s="81"/>
      <c r="E58" s="79" t="s">
        <v>355</v>
      </c>
    </row>
    <row r="94" spans="15:17" x14ac:dyDescent="0.25">
      <c r="O94" s="77"/>
      <c r="P94" s="77"/>
      <c r="Q94" s="77"/>
    </row>
    <row r="101" spans="1:17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x14ac:dyDescent="0.2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1:17" x14ac:dyDescent="0.2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1:17" x14ac:dyDescent="0.2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1:17" x14ac:dyDescent="0.2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1:17" x14ac:dyDescent="0.2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1:17" x14ac:dyDescent="0.2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x14ac:dyDescent="0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1:17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1:17" x14ac:dyDescent="0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1:17" x14ac:dyDescent="0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1:17" x14ac:dyDescent="0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66" spans="1:17" x14ac:dyDescent="0.2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1:17" x14ac:dyDescent="0.2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1:17" x14ac:dyDescent="0.2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1:17" x14ac:dyDescent="0.2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1:17" x14ac:dyDescent="0.2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1:17" x14ac:dyDescent="0.2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1:17" x14ac:dyDescent="0.2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1:17" x14ac:dyDescent="0.2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1:17" x14ac:dyDescent="0.2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1:17" x14ac:dyDescent="0.2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1:17" x14ac:dyDescent="0.2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</sheetData>
  <sheetProtection sheet="1" objects="1" scenarios="1"/>
  <dataConsolidate/>
  <mergeCells count="34">
    <mergeCell ref="A30:E30"/>
    <mergeCell ref="A32:E33"/>
    <mergeCell ref="A12:D12"/>
    <mergeCell ref="A7:E7"/>
    <mergeCell ref="A20:E20"/>
    <mergeCell ref="A22:E23"/>
    <mergeCell ref="A24:E24"/>
    <mergeCell ref="A28:E29"/>
    <mergeCell ref="A8:D8"/>
    <mergeCell ref="A10:E11"/>
    <mergeCell ref="A14:E15"/>
    <mergeCell ref="A16:E16"/>
    <mergeCell ref="A18:E19"/>
    <mergeCell ref="A1:E2"/>
    <mergeCell ref="A3:E3"/>
    <mergeCell ref="A4:B4"/>
    <mergeCell ref="A5:B5"/>
    <mergeCell ref="D4:E4"/>
    <mergeCell ref="D5:E5"/>
    <mergeCell ref="A34:E34"/>
    <mergeCell ref="A38:E39"/>
    <mergeCell ref="A40:E40"/>
    <mergeCell ref="A48:E48"/>
    <mergeCell ref="A49:D49"/>
    <mergeCell ref="A42:E42"/>
    <mergeCell ref="A43:D43"/>
    <mergeCell ref="A45:E45"/>
    <mergeCell ref="A46:D46"/>
    <mergeCell ref="A57:E57"/>
    <mergeCell ref="A58:D58"/>
    <mergeCell ref="A51:E51"/>
    <mergeCell ref="A52:D52"/>
    <mergeCell ref="A54:E54"/>
    <mergeCell ref="A55:D55"/>
  </mergeCells>
  <dataValidations xWindow="739" yWindow="362" count="10">
    <dataValidation type="list" allowBlank="1" showInputMessage="1" showErrorMessage="1" sqref="A24:E24">
      <formula1>INDIRECT(SUBSTITUTE(A16," ","_"))</formula1>
    </dataValidation>
    <dataValidation type="decimal" allowBlank="1" showInputMessage="1" showErrorMessage="1" sqref="A12:D12">
      <formula1>0</formula1>
      <formula2>20</formula2>
    </dataValidation>
    <dataValidation type="decimal" allowBlank="1" showInputMessage="1" showErrorMessage="1" sqref="A8">
      <formula1>20</formula1>
      <formula2>1000</formula2>
    </dataValidation>
    <dataValidation type="list" allowBlank="1" showInputMessage="1" showErrorMessage="1" sqref="A16:E16">
      <formula1>Котли</formula1>
    </dataValidation>
    <dataValidation type="list" allowBlank="1" showInputMessage="1" showErrorMessage="1" sqref="A3:E3">
      <formula1>Регіони</formula1>
    </dataValidation>
    <dataValidation type="list" allowBlank="1" showInputMessage="1" showErrorMessage="1" sqref="A20:E20">
      <formula1>INDIRECT(SUBSTITUTE($A$3," ","_"))</formula1>
    </dataValidation>
    <dataValidation type="list" allowBlank="1" showInputMessage="1" showErrorMessage="1" sqref="A34:E34">
      <formula1>INDIRECT(SUBSTITUTE($A$30," ","_"))</formula1>
    </dataValidation>
    <dataValidation type="list" allowBlank="1" promptTitle="Повідомлення" prompt="Кредитні кошти не надаються у разі переходу на газовий котел" sqref="A40:E40">
      <formula1>Тип_фінансування</formula1>
    </dataValidation>
    <dataValidation type="list" allowBlank="1" showInputMessage="1" showErrorMessage="1" sqref="A46:D46">
      <formula1>Строк_кредиту</formula1>
    </dataValidation>
    <dataValidation type="list" allowBlank="1" showInputMessage="1" showErrorMessage="1" sqref="A30:E30">
      <formula1>Котли1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>
    <oddHeader>Сторінка &amp;P</oddHeader>
    <oddFooter>Сторінка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opLeftCell="A4" workbookViewId="0">
      <selection activeCell="C22" sqref="C22"/>
    </sheetView>
  </sheetViews>
  <sheetFormatPr defaultRowHeight="15" x14ac:dyDescent="0.25"/>
  <cols>
    <col min="2" max="2" width="17.85546875" customWidth="1"/>
    <col min="3" max="3" width="19.5703125" customWidth="1"/>
    <col min="4" max="4" width="23.5703125" customWidth="1"/>
    <col min="5" max="5" width="27.140625" customWidth="1"/>
    <col min="6" max="6" width="16.28515625" customWidth="1"/>
  </cols>
  <sheetData>
    <row r="2" spans="1:17" x14ac:dyDescent="0.25">
      <c r="A2" s="46" t="s">
        <v>74</v>
      </c>
      <c r="B2" s="47"/>
      <c r="C2" s="6"/>
      <c r="D2" s="6"/>
      <c r="E2" s="10" t="s">
        <v>75</v>
      </c>
      <c r="F2" s="11" t="s">
        <v>78</v>
      </c>
      <c r="G2" s="11" t="s">
        <v>73</v>
      </c>
      <c r="H2" s="27" t="s">
        <v>100</v>
      </c>
      <c r="I2" s="27" t="s">
        <v>99</v>
      </c>
      <c r="J2" s="15" t="s">
        <v>101</v>
      </c>
      <c r="K2" s="45" t="s">
        <v>68</v>
      </c>
      <c r="L2" s="45" t="s">
        <v>29</v>
      </c>
      <c r="M2" s="45" t="s">
        <v>122</v>
      </c>
      <c r="O2" s="11" t="s">
        <v>76</v>
      </c>
      <c r="P2" s="11" t="s">
        <v>77</v>
      </c>
      <c r="Q2" s="6"/>
    </row>
    <row r="3" spans="1:17" x14ac:dyDescent="0.25">
      <c r="A3" s="9" t="s">
        <v>64</v>
      </c>
      <c r="B3" s="49">
        <f>IF(Калькулятор!A16="Газовий котел",L3,0)</f>
        <v>7.1879999999999997</v>
      </c>
      <c r="C3" s="32"/>
      <c r="D3" s="6"/>
      <c r="E3" s="51">
        <f>Калькулятор!$A$8/10</f>
        <v>6</v>
      </c>
      <c r="F3" s="49">
        <f>E3*Калькулятор!$A$5*24*0.5</f>
        <v>12672</v>
      </c>
      <c r="G3" s="52">
        <f>$F$3/1163</f>
        <v>10.895958727429063</v>
      </c>
      <c r="H3" s="52">
        <f>(G3*1000000/K3)*(1+(1-M3/100))</f>
        <v>1607.153912295787</v>
      </c>
      <c r="I3" s="51" t="s">
        <v>69</v>
      </c>
      <c r="J3" s="57">
        <f>H3/(Калькулятор!$A$5/30)</f>
        <v>273.94668959587278</v>
      </c>
      <c r="K3" s="53">
        <v>8000</v>
      </c>
      <c r="L3" s="53">
        <f>IF(J3&gt;200,7.188,3.6)</f>
        <v>7.1879999999999997</v>
      </c>
      <c r="M3" s="53">
        <f>Калькулятор!$C$26-(Калькулятор!$A$12*1)</f>
        <v>82</v>
      </c>
      <c r="O3" s="49">
        <f>H3*B3</f>
        <v>11552.222321582116</v>
      </c>
      <c r="P3" s="1"/>
      <c r="Q3" s="6"/>
    </row>
    <row r="4" spans="1:17" x14ac:dyDescent="0.25">
      <c r="A4" s="9" t="s">
        <v>65</v>
      </c>
      <c r="B4" s="49">
        <f>IF(Калькулятор!A16="Дизельний котел",L4,0)</f>
        <v>0</v>
      </c>
      <c r="C4" s="32"/>
      <c r="D4" s="6"/>
      <c r="E4" s="51">
        <f>Калькулятор!$A$8/10</f>
        <v>6</v>
      </c>
      <c r="F4" s="49">
        <f>E4*Калькулятор!$A$5*24*0.5</f>
        <v>12672</v>
      </c>
      <c r="G4" s="52">
        <f>$F$3/1163</f>
        <v>10.895958727429063</v>
      </c>
      <c r="H4" s="52">
        <f>(G4*1000000/K4)*(1+(1-M4/100))</f>
        <v>1262.989322039911</v>
      </c>
      <c r="I4" s="51" t="s">
        <v>70</v>
      </c>
      <c r="J4" s="57">
        <f>H4/(Калькулятор!$A$5/30)</f>
        <v>215.28227080225759</v>
      </c>
      <c r="K4" s="53">
        <v>10180</v>
      </c>
      <c r="L4" s="51">
        <v>21</v>
      </c>
      <c r="M4" s="53">
        <f>Калькулятор!$C$26-(Калькулятор!$A$12*1)</f>
        <v>82</v>
      </c>
      <c r="O4" s="49">
        <f>H4*B4</f>
        <v>0</v>
      </c>
      <c r="P4" s="1"/>
      <c r="Q4" s="6"/>
    </row>
    <row r="5" spans="1:17" x14ac:dyDescent="0.25">
      <c r="A5" s="1" t="s">
        <v>66</v>
      </c>
      <c r="B5" s="49">
        <f>IF(Калькулятор!A16="Електричний котел",L5,0)</f>
        <v>0</v>
      </c>
      <c r="C5" s="32"/>
      <c r="D5" s="6"/>
      <c r="E5" s="51">
        <f>Калькулятор!$A$8/10</f>
        <v>6</v>
      </c>
      <c r="F5" s="49">
        <f>E5*Калькулятор!$A$5*24*0.5</f>
        <v>12672</v>
      </c>
      <c r="G5" s="52">
        <f>$F$3/1163</f>
        <v>10.895958727429063</v>
      </c>
      <c r="H5" s="56">
        <f>F5*(1+(100-M5)/100)</f>
        <v>14952.96</v>
      </c>
      <c r="I5" s="51" t="s">
        <v>71</v>
      </c>
      <c r="J5" s="57">
        <f>H5/(Калькулятор!$A$5/30)</f>
        <v>2548.8000000000002</v>
      </c>
      <c r="K5" s="53" t="s">
        <v>84</v>
      </c>
      <c r="L5" s="53">
        <f>IF(J5&gt;3600,1.479,0.456)</f>
        <v>0.45600000000000002</v>
      </c>
      <c r="M5" s="53">
        <f>Калькулятор!$C$26-(Калькулятор!$A$12*1)</f>
        <v>82</v>
      </c>
      <c r="O5" s="49">
        <f>H5*B5</f>
        <v>0</v>
      </c>
      <c r="P5" s="1"/>
      <c r="Q5" s="6"/>
    </row>
    <row r="6" spans="1:17" x14ac:dyDescent="0.25">
      <c r="A6" s="9" t="s">
        <v>67</v>
      </c>
      <c r="B6" s="49">
        <f>IF(Калькулятор!A16="Твердопаливний котел",L6,0)</f>
        <v>0</v>
      </c>
      <c r="C6" s="32"/>
      <c r="D6" s="6"/>
      <c r="E6" s="51">
        <f>Калькулятор!$A$8/10</f>
        <v>6</v>
      </c>
      <c r="F6" s="49">
        <f>E6*Калькулятор!$A$5*24*0.5</f>
        <v>12672</v>
      </c>
      <c r="G6" s="52">
        <f>$F$3/1163</f>
        <v>10.895958727429063</v>
      </c>
      <c r="H6" s="52">
        <f>(G6*1000000/K6)*(1+(1-M6/100))</f>
        <v>2571.4462596732592</v>
      </c>
      <c r="I6" s="51" t="s">
        <v>72</v>
      </c>
      <c r="J6" s="57">
        <f>H6/(Калькулятор!$A$5/30)</f>
        <v>438.31470335339651</v>
      </c>
      <c r="K6" s="53">
        <v>5000</v>
      </c>
      <c r="L6" s="51">
        <v>2.5</v>
      </c>
      <c r="M6" s="53">
        <f>Калькулятор!$C$26-(Калькулятор!$A$12*1)</f>
        <v>82</v>
      </c>
      <c r="O6" s="49">
        <f>H6*B6</f>
        <v>0</v>
      </c>
      <c r="P6" s="1"/>
      <c r="Q6" s="6"/>
    </row>
    <row r="7" spans="1:17" x14ac:dyDescent="0.25">
      <c r="A7" s="9" t="s">
        <v>81</v>
      </c>
      <c r="B7" s="49">
        <f>IF(Калькулятор!A16="Централізоване опалення",L7,0)</f>
        <v>0</v>
      </c>
      <c r="C7" s="50">
        <f>SUM(B3:B7)</f>
        <v>7.1879999999999997</v>
      </c>
      <c r="D7" s="6"/>
      <c r="E7" s="51">
        <f>Калькулятор!$A$8/10</f>
        <v>6</v>
      </c>
      <c r="F7" s="49">
        <f>G7*1163</f>
        <v>10257.66</v>
      </c>
      <c r="G7" s="52">
        <f>Калькулятор!A8*VLOOKUP(Калькулятор!A3,Регіони!A2:E27,5,0)</f>
        <v>8.82</v>
      </c>
      <c r="H7" s="44"/>
      <c r="J7" s="26"/>
      <c r="L7">
        <f>IF(Калькулятор!A16="Централізоване опалення",VLOOKUP(Калькулятор!A20,'Тарифи-1'!A4:B228,2,0),0)</f>
        <v>0</v>
      </c>
      <c r="O7" s="49">
        <f>G7*B7</f>
        <v>0</v>
      </c>
      <c r="P7" s="49">
        <f>SUM(O3:O7)</f>
        <v>11552.222321582116</v>
      </c>
      <c r="Q7" s="6"/>
    </row>
    <row r="8" spans="1:17" x14ac:dyDescent="0.25">
      <c r="A8" s="107" t="s">
        <v>23</v>
      </c>
      <c r="B8" s="108"/>
      <c r="C8" s="32"/>
      <c r="D8" s="6"/>
      <c r="E8" s="29" t="s">
        <v>79</v>
      </c>
      <c r="F8" s="12"/>
      <c r="G8" s="12"/>
      <c r="H8" s="54"/>
      <c r="I8" s="13"/>
      <c r="J8" s="28"/>
      <c r="K8" s="13"/>
      <c r="L8" s="13"/>
      <c r="O8" s="12"/>
      <c r="P8" s="12"/>
      <c r="Q8" s="6"/>
    </row>
    <row r="9" spans="1:17" x14ac:dyDescent="0.25">
      <c r="A9" s="9" t="s">
        <v>64</v>
      </c>
      <c r="B9" s="49">
        <f>IF(Калькулятор!A30="Газовий котел",L9,0)</f>
        <v>0</v>
      </c>
      <c r="C9" s="32"/>
      <c r="D9" s="6"/>
      <c r="E9" s="51">
        <f>Калькулятор!$A$8/10</f>
        <v>6</v>
      </c>
      <c r="F9" s="49">
        <f>E9*Калькулятор!$A$5*24*0.5</f>
        <v>12672</v>
      </c>
      <c r="G9" s="52">
        <f>$F$3/1163</f>
        <v>10.895958727429063</v>
      </c>
      <c r="H9" s="52">
        <f>(G9*1000000/K9)*(1+(1-Калькулятор!$C$36/100))</f>
        <v>1566.2940670679277</v>
      </c>
      <c r="I9" s="53" t="s">
        <v>69</v>
      </c>
      <c r="J9" s="57">
        <f>H9/(Калькулятор!$A$5/30)</f>
        <v>266.98194325021495</v>
      </c>
      <c r="K9" s="53">
        <v>8000</v>
      </c>
      <c r="L9" s="51">
        <f>IF(J3&gt;200,7.188,3.6)</f>
        <v>7.1879999999999997</v>
      </c>
      <c r="O9" s="49">
        <f>H9*B9</f>
        <v>0</v>
      </c>
      <c r="P9" s="1"/>
      <c r="Q9" s="6"/>
    </row>
    <row r="10" spans="1:17" x14ac:dyDescent="0.25">
      <c r="A10" s="9" t="s">
        <v>65</v>
      </c>
      <c r="B10" s="49">
        <f>IF(Калькулятор!A30="Дизельний котел",L10,0)</f>
        <v>0</v>
      </c>
      <c r="C10" s="32"/>
      <c r="D10" s="6"/>
      <c r="E10" s="51">
        <f>Калькулятор!$A$8/10</f>
        <v>6</v>
      </c>
      <c r="F10" s="49">
        <f>E10*Калькулятор!$A$5*24*0.5</f>
        <v>12672</v>
      </c>
      <c r="G10" s="52">
        <f>$F$3/1163</f>
        <v>10.895958727429063</v>
      </c>
      <c r="H10" s="52">
        <f>(G10*1000000/K10)*(1+(1-Калькулятор!$C$36/100))</f>
        <v>1230.879424021947</v>
      </c>
      <c r="I10" s="53" t="s">
        <v>70</v>
      </c>
      <c r="J10" s="57">
        <f>H10/(Калькулятор!$A$5/30)</f>
        <v>209.80899273101372</v>
      </c>
      <c r="K10" s="53">
        <v>10180</v>
      </c>
      <c r="L10" s="51">
        <v>21</v>
      </c>
      <c r="O10" s="49">
        <f>H10*B10</f>
        <v>0</v>
      </c>
      <c r="P10" s="1"/>
      <c r="Q10" s="6"/>
    </row>
    <row r="11" spans="1:17" x14ac:dyDescent="0.25">
      <c r="A11" s="1" t="s">
        <v>66</v>
      </c>
      <c r="B11" s="49">
        <f>IF(Калькулятор!A30="Електричний котел",L11,0)</f>
        <v>0</v>
      </c>
      <c r="C11" s="32"/>
      <c r="D11" s="6"/>
      <c r="E11" s="51">
        <f>Калькулятор!$A$8/10</f>
        <v>6</v>
      </c>
      <c r="F11" s="49">
        <f>E11*Калькулятор!$A$5*24*0.5</f>
        <v>12672</v>
      </c>
      <c r="G11" s="52">
        <f>$F$3/1163</f>
        <v>10.895958727429063</v>
      </c>
      <c r="H11" s="52">
        <f>F11*(1+(1-Калькулятор!C36/100))</f>
        <v>14572.8</v>
      </c>
      <c r="I11" s="53" t="s">
        <v>71</v>
      </c>
      <c r="J11" s="57">
        <f>H11/(Калькулятор!$A$5/30)</f>
        <v>2484</v>
      </c>
      <c r="K11" s="53" t="s">
        <v>84</v>
      </c>
      <c r="L11" s="55">
        <f>IF(J11&gt;3600,1.479,0.456)</f>
        <v>0.45600000000000002</v>
      </c>
      <c r="O11" s="49">
        <f>H11*B11</f>
        <v>0</v>
      </c>
      <c r="P11" s="34"/>
      <c r="Q11" s="6"/>
    </row>
    <row r="12" spans="1:17" x14ac:dyDescent="0.25">
      <c r="A12" s="9" t="s">
        <v>67</v>
      </c>
      <c r="B12" s="49">
        <f>IF(Калькулятор!A30="Твердопаливний котел",L12,0)</f>
        <v>2.5</v>
      </c>
      <c r="C12" s="50">
        <f>SUM(B9:B12)</f>
        <v>2.5</v>
      </c>
      <c r="D12" s="6"/>
      <c r="E12" s="51">
        <f>Калькулятор!$A$8/10</f>
        <v>6</v>
      </c>
      <c r="F12" s="49">
        <f>E12*Калькулятор!$A$5*24*0.5</f>
        <v>12672</v>
      </c>
      <c r="G12" s="52">
        <f>$F$3/1163</f>
        <v>10.895958727429063</v>
      </c>
      <c r="H12" s="52">
        <f>(G12*1000000/K12)*(1+(1-Калькулятор!$C$36/100))</f>
        <v>2506.0705073086842</v>
      </c>
      <c r="I12" s="53" t="s">
        <v>72</v>
      </c>
      <c r="J12" s="57">
        <f>H12/(Калькулятор!$A$5/30)</f>
        <v>427.17110920034395</v>
      </c>
      <c r="K12" s="53">
        <v>5000</v>
      </c>
      <c r="L12" s="55">
        <v>2.5</v>
      </c>
      <c r="O12" s="49">
        <f>H12*B12</f>
        <v>6265.1762682717108</v>
      </c>
      <c r="P12" s="50">
        <f>SUM(O9:O12)</f>
        <v>6265.1762682717108</v>
      </c>
      <c r="Q12" s="6"/>
    </row>
    <row r="13" spans="1:17" x14ac:dyDescent="0.25"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Q14" s="6"/>
    </row>
    <row r="15" spans="1:17" x14ac:dyDescent="0.25">
      <c r="Q15" s="6"/>
    </row>
    <row r="16" spans="1:17" x14ac:dyDescent="0.25">
      <c r="B16" s="27" t="s">
        <v>315</v>
      </c>
      <c r="C16" s="27" t="s">
        <v>318</v>
      </c>
      <c r="D16" s="27" t="s">
        <v>319</v>
      </c>
      <c r="E16" s="27" t="s">
        <v>320</v>
      </c>
      <c r="F16" s="27" t="s">
        <v>321</v>
      </c>
      <c r="Q16" s="6"/>
    </row>
    <row r="17" spans="2:17" x14ac:dyDescent="0.25">
      <c r="B17" s="1" t="s">
        <v>316</v>
      </c>
      <c r="C17" s="58">
        <f>IF(Калькулятор!A40="Власні кошти",(Калькулятор!E36-(IF(Калькулятор!A30="Газовий котел",0,IF((Калькулятор!E36-3000)&lt;25000,(Калькулятор!E36-3000)*0.2,5000)))),0)</f>
        <v>0</v>
      </c>
      <c r="D17" s="49">
        <v>0</v>
      </c>
      <c r="E17" s="49">
        <v>0</v>
      </c>
      <c r="F17" s="49"/>
      <c r="J17">
        <f>IF((Калькулятор!E36-3000)&lt;25000,(Калькулятор!E36-3000)*0.2,5000)</f>
        <v>1800</v>
      </c>
      <c r="P17" s="6"/>
      <c r="Q17" s="6"/>
    </row>
    <row r="18" spans="2:17" x14ac:dyDescent="0.25">
      <c r="B18" s="1" t="s">
        <v>317</v>
      </c>
      <c r="C18" s="49">
        <f>IF(Калькулятор!A40="Кредитні кошти",(Калькулятор!E36-(IF(Калькулятор!A30="Газовий котел",0,IF((Калькулятор!E36-3000)&lt;25000,(Калькулятор!E36-3000)*0.2,5000)))))</f>
        <v>10200</v>
      </c>
      <c r="D18" s="49"/>
      <c r="E18" s="49"/>
      <c r="F18" s="58">
        <f>SUM(C17+E21)</f>
        <v>15597.84</v>
      </c>
      <c r="P18" s="6"/>
      <c r="Q18" s="6"/>
    </row>
    <row r="19" spans="2:17" x14ac:dyDescent="0.25">
      <c r="P19" s="6"/>
      <c r="Q19" s="6"/>
    </row>
    <row r="20" spans="2:17" x14ac:dyDescent="0.25">
      <c r="B20" s="27" t="s">
        <v>332</v>
      </c>
      <c r="C20" s="27" t="s">
        <v>333</v>
      </c>
      <c r="D20" s="27" t="s">
        <v>334</v>
      </c>
      <c r="E20" s="27" t="s">
        <v>321</v>
      </c>
      <c r="J20" s="6"/>
      <c r="K20" s="6"/>
      <c r="L20" s="6"/>
      <c r="M20" s="6"/>
      <c r="N20" s="6"/>
      <c r="O20" s="6"/>
      <c r="P20" s="6"/>
      <c r="Q20" s="6"/>
    </row>
    <row r="21" spans="2:17" x14ac:dyDescent="0.25">
      <c r="C21" s="63">
        <f>C18</f>
        <v>10200</v>
      </c>
      <c r="D21" s="64">
        <f>C18*(0.03)+C18*Калькулятор!A46*0.0208</f>
        <v>5397.84</v>
      </c>
      <c r="E21" s="65">
        <f>D21+C21</f>
        <v>15597.84</v>
      </c>
      <c r="O21" s="6"/>
      <c r="P21" s="6"/>
      <c r="Q21" s="6"/>
    </row>
    <row r="22" spans="2:17" x14ac:dyDescent="0.25">
      <c r="O22" s="6"/>
      <c r="P22" s="6"/>
      <c r="Q22" s="6"/>
    </row>
    <row r="23" spans="2:17" x14ac:dyDescent="0.25">
      <c r="O23" s="6"/>
      <c r="P23" s="6"/>
      <c r="Q23" s="6"/>
    </row>
  </sheetData>
  <mergeCells count="1"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7" workbookViewId="0">
      <selection activeCell="F64" sqref="F64"/>
    </sheetView>
  </sheetViews>
  <sheetFormatPr defaultRowHeight="15" x14ac:dyDescent="0.25"/>
  <cols>
    <col min="1" max="1" width="30.140625" customWidth="1"/>
    <col min="2" max="2" width="16.7109375" customWidth="1"/>
    <col min="3" max="4" width="19.140625" customWidth="1"/>
    <col min="5" max="5" width="23" customWidth="1"/>
  </cols>
  <sheetData>
    <row r="1" spans="1:6" x14ac:dyDescent="0.25">
      <c r="A1" s="4" t="s">
        <v>15</v>
      </c>
      <c r="B1" s="2" t="s">
        <v>1</v>
      </c>
      <c r="C1" s="2" t="s">
        <v>2</v>
      </c>
      <c r="D1" s="2" t="s">
        <v>5</v>
      </c>
      <c r="E1" s="3" t="s">
        <v>3</v>
      </c>
      <c r="F1" s="3" t="s">
        <v>4</v>
      </c>
    </row>
    <row r="2" spans="1:6" x14ac:dyDescent="0.25">
      <c r="A2" s="33" t="s">
        <v>124</v>
      </c>
      <c r="B2" s="35" t="s">
        <v>123</v>
      </c>
      <c r="C2" s="35" t="s">
        <v>84</v>
      </c>
      <c r="D2" s="35">
        <v>81</v>
      </c>
      <c r="E2" s="35">
        <v>46</v>
      </c>
      <c r="F2" s="35">
        <v>39600</v>
      </c>
    </row>
    <row r="3" spans="1:6" x14ac:dyDescent="0.25">
      <c r="A3" s="33" t="s">
        <v>335</v>
      </c>
      <c r="B3" s="35" t="s">
        <v>125</v>
      </c>
      <c r="C3" s="35" t="s">
        <v>84</v>
      </c>
      <c r="D3" s="35">
        <v>79</v>
      </c>
      <c r="E3" s="35">
        <v>31.4</v>
      </c>
      <c r="F3" s="35">
        <v>64798</v>
      </c>
    </row>
    <row r="4" spans="1:6" x14ac:dyDescent="0.25">
      <c r="A4" s="33" t="s">
        <v>126</v>
      </c>
      <c r="B4" s="35" t="s">
        <v>125</v>
      </c>
      <c r="C4" s="35" t="s">
        <v>84</v>
      </c>
      <c r="D4" s="35">
        <v>85</v>
      </c>
      <c r="E4" s="35">
        <v>29.3</v>
      </c>
      <c r="F4" s="35">
        <v>46430</v>
      </c>
    </row>
    <row r="5" spans="1:6" x14ac:dyDescent="0.25">
      <c r="A5" s="33" t="s">
        <v>127</v>
      </c>
      <c r="B5" s="35" t="s">
        <v>128</v>
      </c>
      <c r="C5" s="35" t="s">
        <v>84</v>
      </c>
      <c r="D5" s="35">
        <v>85</v>
      </c>
      <c r="E5" s="35">
        <v>14.6</v>
      </c>
      <c r="F5" s="35">
        <v>18600</v>
      </c>
    </row>
    <row r="6" spans="1:6" x14ac:dyDescent="0.25">
      <c r="A6" s="31" t="s">
        <v>336</v>
      </c>
      <c r="B6" s="2">
        <v>10</v>
      </c>
      <c r="C6" s="2">
        <v>80</v>
      </c>
      <c r="D6" s="2">
        <v>92</v>
      </c>
      <c r="E6" s="3">
        <v>1.1399999999999999</v>
      </c>
      <c r="F6" s="3">
        <v>4622</v>
      </c>
    </row>
    <row r="7" spans="1:6" x14ac:dyDescent="0.25">
      <c r="A7" s="31" t="s">
        <v>337</v>
      </c>
      <c r="B7" s="2">
        <v>20</v>
      </c>
      <c r="C7" s="2">
        <v>80</v>
      </c>
      <c r="D7" s="2">
        <v>92</v>
      </c>
      <c r="E7" s="3">
        <v>1.85</v>
      </c>
      <c r="F7" s="3">
        <v>5600</v>
      </c>
    </row>
    <row r="8" spans="1:6" x14ac:dyDescent="0.25">
      <c r="A8" s="31" t="s">
        <v>339</v>
      </c>
      <c r="B8" s="2">
        <v>20</v>
      </c>
      <c r="C8" s="2">
        <v>90</v>
      </c>
      <c r="D8" s="2">
        <v>90</v>
      </c>
      <c r="E8" s="3">
        <v>2.2400000000000002</v>
      </c>
      <c r="F8" s="3">
        <v>4096</v>
      </c>
    </row>
    <row r="9" spans="1:6" x14ac:dyDescent="0.25">
      <c r="A9" s="31" t="s">
        <v>338</v>
      </c>
      <c r="B9" s="2">
        <v>15.5</v>
      </c>
      <c r="C9" s="2">
        <v>50</v>
      </c>
      <c r="D9" s="2">
        <v>90</v>
      </c>
      <c r="E9" s="3">
        <v>1.8</v>
      </c>
      <c r="F9" s="3">
        <v>3550</v>
      </c>
    </row>
    <row r="10" spans="1:6" x14ac:dyDescent="0.25">
      <c r="A10" s="31" t="s">
        <v>102</v>
      </c>
      <c r="B10" s="2">
        <v>20</v>
      </c>
      <c r="C10" s="2">
        <v>80</v>
      </c>
      <c r="D10" s="2">
        <v>90</v>
      </c>
      <c r="E10" s="3">
        <v>2.34</v>
      </c>
      <c r="F10" s="3">
        <v>5445</v>
      </c>
    </row>
    <row r="11" spans="1:6" x14ac:dyDescent="0.25">
      <c r="A11" s="31" t="s">
        <v>104</v>
      </c>
      <c r="B11" s="2">
        <v>24</v>
      </c>
      <c r="C11" s="2">
        <v>80</v>
      </c>
      <c r="D11" s="2">
        <v>90</v>
      </c>
      <c r="E11" s="3">
        <v>1.95</v>
      </c>
      <c r="F11" s="3">
        <v>4655</v>
      </c>
    </row>
    <row r="12" spans="1:6" x14ac:dyDescent="0.25">
      <c r="A12" s="31" t="s">
        <v>105</v>
      </c>
      <c r="B12" s="2">
        <v>20</v>
      </c>
      <c r="C12" s="2">
        <v>50</v>
      </c>
      <c r="D12" s="2">
        <v>89</v>
      </c>
      <c r="E12" s="3">
        <v>2.2000000000000002</v>
      </c>
      <c r="F12" s="3">
        <v>5223</v>
      </c>
    </row>
    <row r="13" spans="1:6" x14ac:dyDescent="0.25">
      <c r="A13" s="31" t="s">
        <v>106</v>
      </c>
      <c r="B13" s="2">
        <v>24</v>
      </c>
      <c r="C13" s="2">
        <v>70</v>
      </c>
      <c r="D13" s="2">
        <v>93.4</v>
      </c>
      <c r="E13" s="3">
        <v>2.15</v>
      </c>
      <c r="F13" s="3">
        <v>5400</v>
      </c>
    </row>
    <row r="14" spans="1:6" x14ac:dyDescent="0.25">
      <c r="A14" s="31" t="s">
        <v>107</v>
      </c>
      <c r="B14" s="2">
        <v>23</v>
      </c>
      <c r="C14" s="2">
        <v>75</v>
      </c>
      <c r="D14" s="2">
        <v>92</v>
      </c>
      <c r="E14" s="3">
        <v>2.9</v>
      </c>
      <c r="F14" s="3">
        <v>4650</v>
      </c>
    </row>
    <row r="15" spans="1:6" x14ac:dyDescent="0.25">
      <c r="A15" s="31" t="s">
        <v>340</v>
      </c>
      <c r="B15" s="2">
        <v>16</v>
      </c>
      <c r="C15" s="2">
        <v>85</v>
      </c>
      <c r="D15" s="2">
        <v>85.8</v>
      </c>
      <c r="E15" s="3">
        <v>2</v>
      </c>
      <c r="F15" s="3">
        <v>2800</v>
      </c>
    </row>
    <row r="16" spans="1:6" x14ac:dyDescent="0.25">
      <c r="A16" s="31" t="s">
        <v>108</v>
      </c>
      <c r="B16" s="2">
        <v>17</v>
      </c>
      <c r="C16" s="2">
        <v>78</v>
      </c>
      <c r="D16" s="2">
        <v>88</v>
      </c>
      <c r="E16" s="3">
        <v>1.95</v>
      </c>
      <c r="F16" s="3">
        <v>3432</v>
      </c>
    </row>
    <row r="17" spans="1:6" x14ac:dyDescent="0.25">
      <c r="A17" s="31" t="s">
        <v>341</v>
      </c>
      <c r="B17" s="2">
        <v>20</v>
      </c>
      <c r="C17" s="2">
        <v>80</v>
      </c>
      <c r="D17" s="2">
        <v>90</v>
      </c>
      <c r="E17" s="3">
        <v>2.34</v>
      </c>
      <c r="F17" s="3">
        <v>5445</v>
      </c>
    </row>
    <row r="18" spans="1:6" x14ac:dyDescent="0.25">
      <c r="A18" s="31" t="s">
        <v>0</v>
      </c>
      <c r="B18" s="2">
        <v>20</v>
      </c>
      <c r="C18" s="2">
        <v>97</v>
      </c>
      <c r="D18" s="2">
        <v>93</v>
      </c>
      <c r="E18" s="2">
        <v>2.4</v>
      </c>
      <c r="F18" s="3">
        <v>20925</v>
      </c>
    </row>
    <row r="19" spans="1:6" x14ac:dyDescent="0.25">
      <c r="A19" s="31" t="s">
        <v>6</v>
      </c>
      <c r="B19" s="2">
        <v>23</v>
      </c>
      <c r="C19" s="2">
        <v>110</v>
      </c>
      <c r="D19" s="2">
        <v>93.8</v>
      </c>
      <c r="E19" s="2">
        <v>2.6</v>
      </c>
      <c r="F19" s="2">
        <v>17864</v>
      </c>
    </row>
    <row r="20" spans="1:6" x14ac:dyDescent="0.25">
      <c r="A20" s="31" t="s">
        <v>7</v>
      </c>
      <c r="B20" s="48">
        <v>20</v>
      </c>
      <c r="C20" s="48">
        <v>100</v>
      </c>
      <c r="D20" s="48">
        <v>92</v>
      </c>
      <c r="E20" s="48">
        <v>2.2999999999999998</v>
      </c>
      <c r="F20" s="48">
        <v>35628</v>
      </c>
    </row>
    <row r="21" spans="1:6" x14ac:dyDescent="0.25">
      <c r="A21" s="31" t="s">
        <v>324</v>
      </c>
      <c r="B21" s="20">
        <f>AVERAGE(B6:B20)</f>
        <v>19.5</v>
      </c>
      <c r="C21" s="62">
        <f t="shared" ref="C21" si="0">AVERAGE(C6:C20)</f>
        <v>80.333333333333329</v>
      </c>
      <c r="D21" s="20">
        <v>90</v>
      </c>
      <c r="E21" s="20">
        <v>2.1</v>
      </c>
      <c r="F21" s="20">
        <v>8622</v>
      </c>
    </row>
    <row r="22" spans="1:6" x14ac:dyDescent="0.25">
      <c r="A22" s="4" t="s">
        <v>16</v>
      </c>
      <c r="B22" s="2" t="s">
        <v>1</v>
      </c>
      <c r="C22" s="2" t="s">
        <v>2</v>
      </c>
      <c r="D22" s="2" t="s">
        <v>5</v>
      </c>
      <c r="E22" s="3" t="s">
        <v>8</v>
      </c>
      <c r="F22" s="3" t="s">
        <v>4</v>
      </c>
    </row>
    <row r="23" spans="1:6" x14ac:dyDescent="0.25">
      <c r="A23" s="33" t="s">
        <v>124</v>
      </c>
      <c r="B23" s="35" t="s">
        <v>123</v>
      </c>
      <c r="C23" s="35" t="s">
        <v>84</v>
      </c>
      <c r="D23" s="35">
        <v>75</v>
      </c>
      <c r="E23" s="36">
        <v>41.7</v>
      </c>
      <c r="F23" s="36">
        <v>39600</v>
      </c>
    </row>
    <row r="24" spans="1:6" x14ac:dyDescent="0.25">
      <c r="A24" s="33" t="s">
        <v>335</v>
      </c>
      <c r="B24" s="35" t="s">
        <v>125</v>
      </c>
      <c r="C24" s="35" t="s">
        <v>84</v>
      </c>
      <c r="D24" s="35">
        <v>72</v>
      </c>
      <c r="E24" s="36">
        <v>28.9</v>
      </c>
      <c r="F24" s="36">
        <v>64798</v>
      </c>
    </row>
    <row r="25" spans="1:6" x14ac:dyDescent="0.25">
      <c r="A25" s="33" t="s">
        <v>126</v>
      </c>
      <c r="B25" s="35" t="s">
        <v>125</v>
      </c>
      <c r="C25" s="35" t="s">
        <v>84</v>
      </c>
      <c r="D25" s="35">
        <v>80</v>
      </c>
      <c r="E25" s="36">
        <v>26</v>
      </c>
      <c r="F25" s="35">
        <v>46430</v>
      </c>
    </row>
    <row r="26" spans="1:6" x14ac:dyDescent="0.25">
      <c r="A26" s="33" t="s">
        <v>127</v>
      </c>
      <c r="B26" s="35" t="s">
        <v>128</v>
      </c>
      <c r="C26" s="35" t="s">
        <v>84</v>
      </c>
      <c r="D26" s="35">
        <v>80</v>
      </c>
      <c r="E26" s="36">
        <v>13</v>
      </c>
      <c r="F26" s="36">
        <v>18600</v>
      </c>
    </row>
    <row r="27" spans="1:6" x14ac:dyDescent="0.25">
      <c r="A27" s="1" t="s">
        <v>111</v>
      </c>
      <c r="B27" s="2">
        <v>21</v>
      </c>
      <c r="C27" s="2">
        <v>150</v>
      </c>
      <c r="D27" s="2">
        <v>85</v>
      </c>
      <c r="E27" s="3">
        <v>0.49</v>
      </c>
      <c r="F27" s="3">
        <v>15500</v>
      </c>
    </row>
    <row r="28" spans="1:6" x14ac:dyDescent="0.25">
      <c r="A28" s="1" t="s">
        <v>110</v>
      </c>
      <c r="B28" s="2">
        <v>24</v>
      </c>
      <c r="C28" s="2">
        <v>100</v>
      </c>
      <c r="D28" s="2">
        <v>91</v>
      </c>
      <c r="E28" s="3">
        <v>0.53</v>
      </c>
      <c r="F28" s="3">
        <v>11400</v>
      </c>
    </row>
    <row r="29" spans="1:6" x14ac:dyDescent="0.25">
      <c r="A29" s="1" t="s">
        <v>109</v>
      </c>
      <c r="B29" s="2">
        <v>45</v>
      </c>
      <c r="C29" s="2">
        <v>90</v>
      </c>
      <c r="D29" s="2">
        <v>90.9</v>
      </c>
      <c r="E29" s="3">
        <v>0.5</v>
      </c>
      <c r="F29" s="3">
        <v>9917</v>
      </c>
    </row>
    <row r="30" spans="1:6" x14ac:dyDescent="0.25">
      <c r="A30" s="1" t="s">
        <v>342</v>
      </c>
      <c r="B30" s="2">
        <v>38</v>
      </c>
      <c r="C30" s="2">
        <v>130</v>
      </c>
      <c r="D30" s="2">
        <v>90</v>
      </c>
      <c r="E30" s="3">
        <v>0.45</v>
      </c>
      <c r="F30" s="3">
        <v>8990</v>
      </c>
    </row>
    <row r="31" spans="1:6" x14ac:dyDescent="0.25">
      <c r="A31" s="1" t="s">
        <v>343</v>
      </c>
      <c r="B31" s="3">
        <v>20.9</v>
      </c>
      <c r="C31" s="3">
        <v>100</v>
      </c>
      <c r="D31" s="3">
        <v>89.9</v>
      </c>
      <c r="E31" s="3">
        <v>0.48</v>
      </c>
      <c r="F31" s="3">
        <v>19200</v>
      </c>
    </row>
    <row r="32" spans="1:6" x14ac:dyDescent="0.25">
      <c r="A32" s="1" t="s">
        <v>9</v>
      </c>
      <c r="B32" s="3">
        <v>22</v>
      </c>
      <c r="C32" s="3">
        <v>150</v>
      </c>
      <c r="D32" s="3">
        <v>89</v>
      </c>
      <c r="E32" s="3">
        <v>0.55000000000000004</v>
      </c>
      <c r="F32" s="3">
        <v>53148</v>
      </c>
    </row>
    <row r="33" spans="1:6" x14ac:dyDescent="0.25">
      <c r="A33" s="1" t="s">
        <v>324</v>
      </c>
      <c r="B33" s="59">
        <f>AVERAGE(B27:B32)</f>
        <v>28.483333333333334</v>
      </c>
      <c r="C33" s="59">
        <f t="shared" ref="C33:F33" si="1">AVERAGE(C27:C32)</f>
        <v>120</v>
      </c>
      <c r="D33" s="59">
        <f t="shared" si="1"/>
        <v>89.3</v>
      </c>
      <c r="E33" s="61">
        <f>AVERAGE(E27:E32)</f>
        <v>0.5</v>
      </c>
      <c r="F33" s="59">
        <f t="shared" si="1"/>
        <v>19692.5</v>
      </c>
    </row>
    <row r="34" spans="1:6" x14ac:dyDescent="0.25">
      <c r="A34" s="4" t="s">
        <v>17</v>
      </c>
      <c r="B34" s="2" t="s">
        <v>1</v>
      </c>
      <c r="C34" s="2" t="s">
        <v>2</v>
      </c>
      <c r="D34" s="2" t="s">
        <v>5</v>
      </c>
      <c r="E34" s="3" t="s">
        <v>8</v>
      </c>
      <c r="F34" s="3" t="s">
        <v>4</v>
      </c>
    </row>
    <row r="35" spans="1:6" x14ac:dyDescent="0.25">
      <c r="A35" s="1" t="s">
        <v>117</v>
      </c>
      <c r="B35" s="2">
        <v>20</v>
      </c>
      <c r="C35" s="2">
        <v>20000</v>
      </c>
      <c r="D35" s="2">
        <v>99</v>
      </c>
      <c r="E35" s="3" t="s">
        <v>84</v>
      </c>
      <c r="F35" s="3">
        <v>8532</v>
      </c>
    </row>
    <row r="36" spans="1:6" x14ac:dyDescent="0.25">
      <c r="A36" s="1" t="s">
        <v>344</v>
      </c>
      <c r="B36" s="2">
        <v>18</v>
      </c>
      <c r="C36" s="2">
        <v>18000</v>
      </c>
      <c r="D36" s="2">
        <v>97</v>
      </c>
      <c r="E36" s="3" t="s">
        <v>84</v>
      </c>
      <c r="F36" s="3">
        <v>18114</v>
      </c>
    </row>
    <row r="37" spans="1:6" x14ac:dyDescent="0.25">
      <c r="A37" s="1" t="s">
        <v>116</v>
      </c>
      <c r="B37" s="2">
        <v>18</v>
      </c>
      <c r="C37" s="2">
        <v>18000</v>
      </c>
      <c r="D37" s="2">
        <v>98</v>
      </c>
      <c r="E37" s="3" t="s">
        <v>84</v>
      </c>
      <c r="F37" s="3">
        <v>12804</v>
      </c>
    </row>
    <row r="38" spans="1:6" x14ac:dyDescent="0.25">
      <c r="A38" s="1" t="s">
        <v>115</v>
      </c>
      <c r="B38" s="2">
        <v>22</v>
      </c>
      <c r="C38" s="2">
        <v>22000</v>
      </c>
      <c r="D38" s="2">
        <v>99</v>
      </c>
      <c r="E38" s="3" t="s">
        <v>84</v>
      </c>
      <c r="F38" s="3">
        <v>15813</v>
      </c>
    </row>
    <row r="39" spans="1:6" x14ac:dyDescent="0.25">
      <c r="A39" s="1" t="s">
        <v>114</v>
      </c>
      <c r="B39" s="2">
        <v>15</v>
      </c>
      <c r="C39" s="2">
        <v>15000</v>
      </c>
      <c r="D39" s="2">
        <v>98</v>
      </c>
      <c r="E39" s="3" t="s">
        <v>84</v>
      </c>
      <c r="F39" s="3">
        <v>2428</v>
      </c>
    </row>
    <row r="40" spans="1:6" x14ac:dyDescent="0.25">
      <c r="A40" s="1" t="s">
        <v>113</v>
      </c>
      <c r="B40" s="2">
        <v>18</v>
      </c>
      <c r="C40" s="2">
        <v>18000</v>
      </c>
      <c r="D40" s="2">
        <v>99</v>
      </c>
      <c r="E40" s="3" t="s">
        <v>84</v>
      </c>
      <c r="F40" s="3">
        <v>7896</v>
      </c>
    </row>
    <row r="41" spans="1:6" x14ac:dyDescent="0.25">
      <c r="A41" s="1" t="s">
        <v>345</v>
      </c>
      <c r="B41" s="2">
        <v>20</v>
      </c>
      <c r="C41" s="2">
        <v>20000</v>
      </c>
      <c r="D41" s="2">
        <v>94</v>
      </c>
      <c r="E41" s="3" t="s">
        <v>84</v>
      </c>
      <c r="F41" s="3">
        <v>4378</v>
      </c>
    </row>
    <row r="42" spans="1:6" x14ac:dyDescent="0.25">
      <c r="A42" s="1" t="s">
        <v>112</v>
      </c>
      <c r="B42" s="2">
        <v>14</v>
      </c>
      <c r="C42" s="2">
        <v>14000</v>
      </c>
      <c r="D42" s="2">
        <v>97</v>
      </c>
      <c r="E42" s="3" t="s">
        <v>84</v>
      </c>
      <c r="F42" s="3">
        <v>21917</v>
      </c>
    </row>
    <row r="43" spans="1:6" x14ac:dyDescent="0.25">
      <c r="A43" s="1" t="s">
        <v>346</v>
      </c>
      <c r="B43" s="2">
        <v>15</v>
      </c>
      <c r="C43" s="2">
        <v>15000</v>
      </c>
      <c r="D43" s="2">
        <v>95</v>
      </c>
      <c r="E43" s="3" t="s">
        <v>84</v>
      </c>
      <c r="F43" s="3">
        <v>9187</v>
      </c>
    </row>
    <row r="44" spans="1:6" x14ac:dyDescent="0.25">
      <c r="A44" s="1" t="s">
        <v>347</v>
      </c>
      <c r="B44" s="2">
        <v>15</v>
      </c>
      <c r="C44" s="2">
        <v>15000</v>
      </c>
      <c r="D44" s="2">
        <v>96</v>
      </c>
      <c r="E44" s="3" t="s">
        <v>84</v>
      </c>
      <c r="F44" s="3">
        <v>4239</v>
      </c>
    </row>
    <row r="45" spans="1:6" x14ac:dyDescent="0.25">
      <c r="A45" s="1" t="s">
        <v>103</v>
      </c>
      <c r="B45" s="2">
        <v>19.5</v>
      </c>
      <c r="C45" s="2">
        <v>19500</v>
      </c>
      <c r="D45" s="2">
        <v>95</v>
      </c>
      <c r="E45" s="3" t="s">
        <v>84</v>
      </c>
      <c r="F45" s="3">
        <v>5735</v>
      </c>
    </row>
    <row r="46" spans="1:6" x14ac:dyDescent="0.25">
      <c r="A46" s="1" t="s">
        <v>10</v>
      </c>
      <c r="B46" s="3">
        <v>24</v>
      </c>
      <c r="C46" s="3">
        <v>2400</v>
      </c>
      <c r="D46" s="3">
        <v>95</v>
      </c>
      <c r="E46" s="2" t="s">
        <v>84</v>
      </c>
      <c r="F46" s="3">
        <v>4734</v>
      </c>
    </row>
    <row r="47" spans="1:6" x14ac:dyDescent="0.25">
      <c r="A47" s="1" t="s">
        <v>348</v>
      </c>
      <c r="B47" s="3">
        <v>24</v>
      </c>
      <c r="C47" s="3">
        <v>2600</v>
      </c>
      <c r="D47" s="3">
        <v>99.5</v>
      </c>
      <c r="E47" s="48" t="s">
        <v>84</v>
      </c>
      <c r="F47" s="3">
        <v>17330</v>
      </c>
    </row>
    <row r="48" spans="1:6" x14ac:dyDescent="0.25">
      <c r="A48" s="1" t="s">
        <v>324</v>
      </c>
      <c r="B48" s="59">
        <f>AVERAGE(B35:B47)</f>
        <v>18.653846153846153</v>
      </c>
      <c r="C48" s="59">
        <f t="shared" ref="C48:F48" si="2">AVERAGE(C35:C47)</f>
        <v>15346.153846153846</v>
      </c>
      <c r="D48" s="59">
        <f t="shared" si="2"/>
        <v>97.038461538461533</v>
      </c>
      <c r="E48" s="59" t="s">
        <v>84</v>
      </c>
      <c r="F48" s="59">
        <f t="shared" si="2"/>
        <v>10239</v>
      </c>
    </row>
    <row r="49" spans="1:6" x14ac:dyDescent="0.25">
      <c r="A49" s="4" t="s">
        <v>18</v>
      </c>
      <c r="B49" s="2" t="s">
        <v>1</v>
      </c>
      <c r="C49" s="2" t="s">
        <v>2</v>
      </c>
      <c r="D49" s="2" t="s">
        <v>5</v>
      </c>
      <c r="E49" s="3" t="s">
        <v>11</v>
      </c>
      <c r="F49" s="3" t="s">
        <v>4</v>
      </c>
    </row>
    <row r="50" spans="1:6" x14ac:dyDescent="0.25">
      <c r="A50" s="1" t="s">
        <v>124</v>
      </c>
      <c r="B50" s="35" t="s">
        <v>123</v>
      </c>
      <c r="C50" s="35" t="s">
        <v>84</v>
      </c>
      <c r="D50" s="35">
        <v>67.5</v>
      </c>
      <c r="E50" s="36">
        <v>79</v>
      </c>
      <c r="F50" s="36">
        <v>39600</v>
      </c>
    </row>
    <row r="51" spans="1:6" x14ac:dyDescent="0.25">
      <c r="A51" s="1" t="s">
        <v>335</v>
      </c>
      <c r="B51" s="35" t="s">
        <v>125</v>
      </c>
      <c r="C51" s="35" t="s">
        <v>84</v>
      </c>
      <c r="D51" s="35">
        <v>65</v>
      </c>
      <c r="E51" s="36">
        <v>55</v>
      </c>
      <c r="F51" s="36">
        <v>64798</v>
      </c>
    </row>
    <row r="52" spans="1:6" x14ac:dyDescent="0.25">
      <c r="A52" s="1" t="s">
        <v>126</v>
      </c>
      <c r="B52" s="35" t="s">
        <v>125</v>
      </c>
      <c r="C52" s="35" t="s">
        <v>84</v>
      </c>
      <c r="D52" s="35">
        <v>67</v>
      </c>
      <c r="E52" s="36">
        <v>53</v>
      </c>
      <c r="F52" s="35">
        <v>46430</v>
      </c>
    </row>
    <row r="53" spans="1:6" x14ac:dyDescent="0.25">
      <c r="A53" s="1" t="s">
        <v>127</v>
      </c>
      <c r="B53" s="35" t="s">
        <v>128</v>
      </c>
      <c r="C53" s="35" t="s">
        <v>84</v>
      </c>
      <c r="D53" s="35">
        <v>76</v>
      </c>
      <c r="E53" s="36">
        <v>23.5</v>
      </c>
      <c r="F53" s="36">
        <v>18600</v>
      </c>
    </row>
    <row r="54" spans="1:6" x14ac:dyDescent="0.25">
      <c r="A54" s="1" t="s">
        <v>12</v>
      </c>
      <c r="B54" s="3">
        <v>20</v>
      </c>
      <c r="C54" s="3">
        <v>20</v>
      </c>
      <c r="D54" s="3">
        <v>91.6</v>
      </c>
      <c r="E54" s="3">
        <v>1.6</v>
      </c>
      <c r="F54" s="3">
        <v>24300</v>
      </c>
    </row>
    <row r="55" spans="1:6" x14ac:dyDescent="0.25">
      <c r="A55" s="1" t="s">
        <v>13</v>
      </c>
      <c r="B55" s="3">
        <v>20</v>
      </c>
      <c r="C55" s="3">
        <v>20</v>
      </c>
      <c r="D55" s="3">
        <v>91.6</v>
      </c>
      <c r="E55" s="3">
        <v>2.5</v>
      </c>
      <c r="F55" s="3">
        <v>24300</v>
      </c>
    </row>
    <row r="56" spans="1:6" x14ac:dyDescent="0.25">
      <c r="A56" s="1" t="s">
        <v>118</v>
      </c>
      <c r="B56" s="3">
        <v>25</v>
      </c>
      <c r="C56" s="3">
        <v>80</v>
      </c>
      <c r="D56" s="3">
        <v>82</v>
      </c>
      <c r="E56" s="3">
        <v>2.2000000000000002</v>
      </c>
      <c r="F56" s="3">
        <v>25000</v>
      </c>
    </row>
    <row r="57" spans="1:6" x14ac:dyDescent="0.25">
      <c r="A57" s="1" t="s">
        <v>14</v>
      </c>
      <c r="B57" s="3">
        <v>23</v>
      </c>
      <c r="C57" s="3">
        <v>80</v>
      </c>
      <c r="D57" s="3">
        <v>81.599999999999994</v>
      </c>
      <c r="E57" s="3">
        <v>1.4</v>
      </c>
      <c r="F57" s="3">
        <v>52000</v>
      </c>
    </row>
    <row r="58" spans="1:6" x14ac:dyDescent="0.25">
      <c r="A58" s="30" t="s">
        <v>349</v>
      </c>
      <c r="B58" s="3">
        <v>23</v>
      </c>
      <c r="C58" s="3">
        <v>30</v>
      </c>
      <c r="D58" s="3">
        <v>73</v>
      </c>
      <c r="E58" s="18">
        <v>2.6</v>
      </c>
      <c r="F58" s="18">
        <v>13745</v>
      </c>
    </row>
    <row r="59" spans="1:6" x14ac:dyDescent="0.25">
      <c r="A59" s="30" t="s">
        <v>350</v>
      </c>
      <c r="B59" s="3">
        <v>20</v>
      </c>
      <c r="C59" s="3">
        <v>30</v>
      </c>
      <c r="D59" s="3">
        <v>71.400000000000006</v>
      </c>
      <c r="E59" s="18">
        <v>2.4</v>
      </c>
      <c r="F59" s="18">
        <v>9800</v>
      </c>
    </row>
    <row r="60" spans="1:6" x14ac:dyDescent="0.25">
      <c r="A60" s="30" t="s">
        <v>351</v>
      </c>
      <c r="B60" s="3">
        <v>20</v>
      </c>
      <c r="C60" s="3">
        <v>50</v>
      </c>
      <c r="D60" s="3">
        <v>82</v>
      </c>
      <c r="E60" s="18">
        <v>2.4</v>
      </c>
      <c r="F60" s="18">
        <v>14692</v>
      </c>
    </row>
    <row r="61" spans="1:6" x14ac:dyDescent="0.25">
      <c r="A61" s="30" t="s">
        <v>352</v>
      </c>
      <c r="B61" s="3">
        <v>20</v>
      </c>
      <c r="C61" s="3">
        <v>70</v>
      </c>
      <c r="D61" s="3">
        <v>89</v>
      </c>
      <c r="E61" s="18">
        <v>2.5</v>
      </c>
      <c r="F61" s="18">
        <v>25000</v>
      </c>
    </row>
    <row r="62" spans="1:6" x14ac:dyDescent="0.25">
      <c r="A62" s="30" t="s">
        <v>119</v>
      </c>
      <c r="B62" s="3">
        <v>20</v>
      </c>
      <c r="C62" s="3">
        <v>85</v>
      </c>
      <c r="D62" s="3">
        <v>80</v>
      </c>
      <c r="E62" s="18">
        <v>2.1</v>
      </c>
      <c r="F62" s="18">
        <v>25345</v>
      </c>
    </row>
    <row r="63" spans="1:6" x14ac:dyDescent="0.25">
      <c r="A63" s="30" t="s">
        <v>120</v>
      </c>
      <c r="B63" s="3">
        <v>25</v>
      </c>
      <c r="C63" s="3">
        <v>76</v>
      </c>
      <c r="D63" s="3">
        <v>83</v>
      </c>
      <c r="E63" s="18">
        <v>2.2000000000000002</v>
      </c>
      <c r="F63" s="18">
        <v>25600</v>
      </c>
    </row>
    <row r="64" spans="1:6" x14ac:dyDescent="0.25">
      <c r="A64" s="30" t="s">
        <v>121</v>
      </c>
      <c r="B64" s="3">
        <v>18</v>
      </c>
      <c r="C64" s="3">
        <v>100</v>
      </c>
      <c r="D64" s="3">
        <v>85</v>
      </c>
      <c r="E64" s="18">
        <v>2.2999999999999998</v>
      </c>
      <c r="F64" s="18">
        <v>30000</v>
      </c>
    </row>
    <row r="65" spans="1:6" x14ac:dyDescent="0.25">
      <c r="A65" s="30" t="s">
        <v>324</v>
      </c>
      <c r="B65" s="59">
        <f>AVERAGE(B54:B64)</f>
        <v>21.272727272727273</v>
      </c>
      <c r="C65" s="59">
        <f t="shared" ref="C65:F65" si="3">AVERAGE(C54:C64)</f>
        <v>58.272727272727273</v>
      </c>
      <c r="D65" s="59">
        <f t="shared" si="3"/>
        <v>82.745454545454535</v>
      </c>
      <c r="E65" s="60">
        <f t="shared" si="3"/>
        <v>2.2000000000000002</v>
      </c>
      <c r="F65" s="59">
        <f t="shared" si="3"/>
        <v>24525.636363636364</v>
      </c>
    </row>
    <row r="66" spans="1:6" x14ac:dyDescent="0.25">
      <c r="A66" s="17" t="s">
        <v>83</v>
      </c>
      <c r="B66" s="1" t="s">
        <v>1</v>
      </c>
      <c r="C66" s="1" t="s">
        <v>2</v>
      </c>
      <c r="D66" s="21" t="s">
        <v>5</v>
      </c>
      <c r="E66" s="18" t="s">
        <v>11</v>
      </c>
      <c r="F66" s="18" t="s">
        <v>4</v>
      </c>
    </row>
    <row r="67" spans="1:6" x14ac:dyDescent="0.25">
      <c r="A67" s="2">
        <v>1</v>
      </c>
      <c r="B67" s="2" t="s">
        <v>84</v>
      </c>
      <c r="C67" s="2" t="s">
        <v>84</v>
      </c>
      <c r="D67" s="2" t="s">
        <v>84</v>
      </c>
      <c r="E67" s="2" t="s">
        <v>84</v>
      </c>
      <c r="F67" s="20" t="e">
        <f>Калькулятор!#REF!</f>
        <v>#REF!</v>
      </c>
    </row>
    <row r="68" spans="1:6" x14ac:dyDescent="0.25">
      <c r="A68" s="2">
        <v>2</v>
      </c>
      <c r="B68" s="2" t="s">
        <v>84</v>
      </c>
      <c r="C68" s="2" t="s">
        <v>84</v>
      </c>
      <c r="D68" s="2" t="s">
        <v>84</v>
      </c>
      <c r="E68" s="2" t="s">
        <v>84</v>
      </c>
      <c r="F68" s="20" t="e">
        <f>Калькулятор!#REF!</f>
        <v>#REF!</v>
      </c>
    </row>
    <row r="69" spans="1:6" x14ac:dyDescent="0.25">
      <c r="A69" s="19" t="s">
        <v>15</v>
      </c>
    </row>
    <row r="70" spans="1:6" x14ac:dyDescent="0.25">
      <c r="A70" s="4" t="s">
        <v>16</v>
      </c>
    </row>
    <row r="71" spans="1:6" x14ac:dyDescent="0.25">
      <c r="A71" s="4" t="s">
        <v>17</v>
      </c>
    </row>
    <row r="72" spans="1:6" x14ac:dyDescent="0.25">
      <c r="A72" s="4" t="s">
        <v>18</v>
      </c>
    </row>
    <row r="73" spans="1:6" x14ac:dyDescent="0.25">
      <c r="A73" s="16" t="s">
        <v>83</v>
      </c>
    </row>
    <row r="75" spans="1:6" x14ac:dyDescent="0.25">
      <c r="A75" s="16" t="s">
        <v>331</v>
      </c>
    </row>
    <row r="76" spans="1:6" x14ac:dyDescent="0.25">
      <c r="A76">
        <v>1</v>
      </c>
    </row>
    <row r="77" spans="1:6" x14ac:dyDescent="0.25">
      <c r="A77">
        <v>2</v>
      </c>
    </row>
    <row r="78" spans="1:6" x14ac:dyDescent="0.25">
      <c r="A78">
        <v>3</v>
      </c>
    </row>
    <row r="79" spans="1:6" x14ac:dyDescent="0.25">
      <c r="A79">
        <v>4</v>
      </c>
    </row>
    <row r="80" spans="1:6" x14ac:dyDescent="0.25">
      <c r="A80">
        <v>5</v>
      </c>
    </row>
    <row r="81" spans="1:1" x14ac:dyDescent="0.25">
      <c r="A81">
        <v>6</v>
      </c>
    </row>
    <row r="82" spans="1:1" x14ac:dyDescent="0.25">
      <c r="A82">
        <v>7</v>
      </c>
    </row>
    <row r="83" spans="1:1" x14ac:dyDescent="0.25">
      <c r="A83">
        <v>8</v>
      </c>
    </row>
    <row r="84" spans="1:1" x14ac:dyDescent="0.25">
      <c r="A84">
        <v>9</v>
      </c>
    </row>
    <row r="85" spans="1:1" x14ac:dyDescent="0.25">
      <c r="A85">
        <v>10</v>
      </c>
    </row>
    <row r="86" spans="1:1" x14ac:dyDescent="0.25">
      <c r="A86">
        <v>11</v>
      </c>
    </row>
    <row r="87" spans="1:1" x14ac:dyDescent="0.25">
      <c r="A87">
        <v>12</v>
      </c>
    </row>
    <row r="88" spans="1:1" x14ac:dyDescent="0.25">
      <c r="A88">
        <v>13</v>
      </c>
    </row>
    <row r="89" spans="1:1" x14ac:dyDescent="0.25">
      <c r="A89">
        <v>14</v>
      </c>
    </row>
    <row r="90" spans="1:1" x14ac:dyDescent="0.25">
      <c r="A90">
        <v>15</v>
      </c>
    </row>
    <row r="91" spans="1:1" x14ac:dyDescent="0.25">
      <c r="A91">
        <v>16</v>
      </c>
    </row>
    <row r="92" spans="1:1" x14ac:dyDescent="0.25">
      <c r="A92">
        <v>17</v>
      </c>
    </row>
    <row r="93" spans="1:1" x14ac:dyDescent="0.25">
      <c r="A93">
        <v>18</v>
      </c>
    </row>
    <row r="94" spans="1:1" x14ac:dyDescent="0.25">
      <c r="A94">
        <v>19</v>
      </c>
    </row>
    <row r="95" spans="1:1" x14ac:dyDescent="0.25">
      <c r="A95">
        <v>20</v>
      </c>
    </row>
    <row r="96" spans="1:1" x14ac:dyDescent="0.25">
      <c r="A96">
        <v>21</v>
      </c>
    </row>
    <row r="97" spans="1:1" x14ac:dyDescent="0.25">
      <c r="A97">
        <v>22</v>
      </c>
    </row>
    <row r="98" spans="1:1" x14ac:dyDescent="0.25">
      <c r="A98">
        <v>23</v>
      </c>
    </row>
    <row r="99" spans="1:1" x14ac:dyDescent="0.25">
      <c r="A99">
        <v>24</v>
      </c>
    </row>
    <row r="100" spans="1:1" x14ac:dyDescent="0.25">
      <c r="A100">
        <v>25</v>
      </c>
    </row>
    <row r="101" spans="1:1" x14ac:dyDescent="0.25">
      <c r="A101">
        <v>26</v>
      </c>
    </row>
    <row r="102" spans="1:1" x14ac:dyDescent="0.25">
      <c r="A102">
        <v>27</v>
      </c>
    </row>
    <row r="103" spans="1:1" x14ac:dyDescent="0.25">
      <c r="A103">
        <v>28</v>
      </c>
    </row>
    <row r="104" spans="1:1" x14ac:dyDescent="0.25">
      <c r="A104">
        <v>29</v>
      </c>
    </row>
    <row r="105" spans="1:1" x14ac:dyDescent="0.25">
      <c r="A105">
        <v>30</v>
      </c>
    </row>
    <row r="106" spans="1:1" x14ac:dyDescent="0.25">
      <c r="A106">
        <v>31</v>
      </c>
    </row>
    <row r="107" spans="1:1" x14ac:dyDescent="0.25">
      <c r="A107">
        <v>32</v>
      </c>
    </row>
    <row r="108" spans="1:1" x14ac:dyDescent="0.25">
      <c r="A108">
        <v>33</v>
      </c>
    </row>
    <row r="109" spans="1:1" x14ac:dyDescent="0.25">
      <c r="A109">
        <v>34</v>
      </c>
    </row>
    <row r="110" spans="1:1" x14ac:dyDescent="0.25">
      <c r="A110">
        <v>35</v>
      </c>
    </row>
    <row r="111" spans="1:1" x14ac:dyDescent="0.25">
      <c r="A111">
        <v>36</v>
      </c>
    </row>
  </sheetData>
  <hyperlinks>
    <hyperlink ref="A31" r:id="rId1" tooltip="Дизельные котлы LAMBORGHINI, EXA 20" display="http://www.energosvit.com.ua/index.php?page=menu3_2&amp;id=5435"/>
    <hyperlink ref="A15" r:id="rId2" display="http://teplo-klimat.com.ua/otopitelnaya-tehnika/gasovye-kolonki/%D0%90%D0%A2%D0%95%D0%9C-%D0%96%D0%B8%D1%82%D0%BE%D0%BC%D0%B8%D1%80-%D0%92%D0%9F%D0%93-16.html"/>
    <hyperlink ref="A36" r:id="rId3" display="http://www.marketus.com.ua/ua/product/dakon-daline-pte-18/"/>
  </hyperlinks>
  <pageMargins left="0.7" right="0.7" top="0.75" bottom="0.75" header="0.3" footer="0.3"/>
  <pageSetup paperSize="9" orientation="portrait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6"/>
  <sheetViews>
    <sheetView topLeftCell="A7" zoomScale="70" zoomScaleNormal="70" workbookViewId="0">
      <selection activeCell="M8" sqref="M8"/>
    </sheetView>
  </sheetViews>
  <sheetFormatPr defaultRowHeight="15" x14ac:dyDescent="0.25"/>
  <cols>
    <col min="4" max="4" width="15.42578125" customWidth="1"/>
    <col min="8" max="8" width="15.5703125" customWidth="1"/>
  </cols>
  <sheetData>
    <row r="5" spans="2:15" x14ac:dyDescent="0.25">
      <c r="B5" t="s">
        <v>28</v>
      </c>
      <c r="C5" s="109" t="s">
        <v>80</v>
      </c>
      <c r="D5" s="109"/>
      <c r="E5" t="s">
        <v>29</v>
      </c>
      <c r="G5" t="s">
        <v>25</v>
      </c>
      <c r="K5" t="s">
        <v>30</v>
      </c>
      <c r="M5" t="s">
        <v>31</v>
      </c>
    </row>
    <row r="6" spans="2:15" x14ac:dyDescent="0.25">
      <c r="M6" s="5"/>
    </row>
    <row r="7" spans="2:15" x14ac:dyDescent="0.25">
      <c r="B7">
        <v>2015</v>
      </c>
      <c r="C7" s="14">
        <f>Калькулятор!$A$55</f>
        <v>5287.0460533104051</v>
      </c>
      <c r="E7" s="14">
        <f>Розрахунки!C7</f>
        <v>7.1879999999999997</v>
      </c>
      <c r="G7" s="14">
        <f>C7</f>
        <v>5287.0460533104051</v>
      </c>
      <c r="K7">
        <f>M7/G7</f>
        <v>2.9501993821736514</v>
      </c>
      <c r="M7" s="43">
        <f>Розрахунки!F18</f>
        <v>15597.84</v>
      </c>
      <c r="O7" t="e">
        <f>Калькулятор!#REF!/100+1</f>
        <v>#REF!</v>
      </c>
    </row>
    <row r="8" spans="2:15" x14ac:dyDescent="0.25">
      <c r="B8">
        <v>2016</v>
      </c>
      <c r="C8">
        <f>Калькулятор!$A$55</f>
        <v>5287.0460533104051</v>
      </c>
      <c r="E8" t="e">
        <f>E7*$O$7</f>
        <v>#REF!</v>
      </c>
      <c r="G8" t="e">
        <f>G7*$O$7</f>
        <v>#REF!</v>
      </c>
      <c r="K8" t="e">
        <f t="shared" ref="K8:K16" si="0">M8/G8</f>
        <v>#REF!</v>
      </c>
      <c r="M8" s="5">
        <f t="shared" ref="M8:M16" si="1">M7-G7</f>
        <v>10310.793946689595</v>
      </c>
    </row>
    <row r="9" spans="2:15" x14ac:dyDescent="0.25">
      <c r="B9">
        <v>2017</v>
      </c>
      <c r="C9">
        <f>Калькулятор!$A$55</f>
        <v>5287.0460533104051</v>
      </c>
      <c r="E9" t="e">
        <f t="shared" ref="E9:E16" si="2">E8*$O$7</f>
        <v>#REF!</v>
      </c>
      <c r="G9" t="e">
        <f>G8*$O$7</f>
        <v>#REF!</v>
      </c>
      <c r="K9" t="e">
        <f t="shared" si="0"/>
        <v>#REF!</v>
      </c>
      <c r="M9" s="5" t="e">
        <f t="shared" si="1"/>
        <v>#REF!</v>
      </c>
    </row>
    <row r="10" spans="2:15" x14ac:dyDescent="0.25">
      <c r="B10">
        <v>2018</v>
      </c>
      <c r="C10">
        <f>Калькулятор!$A$55</f>
        <v>5287.0460533104051</v>
      </c>
      <c r="E10" t="e">
        <f t="shared" si="2"/>
        <v>#REF!</v>
      </c>
      <c r="G10" t="e">
        <f t="shared" ref="G10:G16" si="3">G9*$O$7</f>
        <v>#REF!</v>
      </c>
      <c r="K10" t="e">
        <f t="shared" si="0"/>
        <v>#REF!</v>
      </c>
      <c r="M10" s="5" t="e">
        <f t="shared" si="1"/>
        <v>#REF!</v>
      </c>
    </row>
    <row r="11" spans="2:15" x14ac:dyDescent="0.25">
      <c r="B11">
        <v>2019</v>
      </c>
      <c r="C11">
        <f>Калькулятор!$A$55</f>
        <v>5287.0460533104051</v>
      </c>
      <c r="E11" t="e">
        <f t="shared" si="2"/>
        <v>#REF!</v>
      </c>
      <c r="G11" t="e">
        <f t="shared" si="3"/>
        <v>#REF!</v>
      </c>
      <c r="K11" t="e">
        <f t="shared" si="0"/>
        <v>#REF!</v>
      </c>
      <c r="M11" s="5" t="e">
        <f t="shared" si="1"/>
        <v>#REF!</v>
      </c>
    </row>
    <row r="12" spans="2:15" x14ac:dyDescent="0.25">
      <c r="B12">
        <v>2020</v>
      </c>
      <c r="C12">
        <f>Калькулятор!$A$55</f>
        <v>5287.0460533104051</v>
      </c>
      <c r="E12" t="e">
        <f t="shared" si="2"/>
        <v>#REF!</v>
      </c>
      <c r="G12" t="e">
        <f t="shared" si="3"/>
        <v>#REF!</v>
      </c>
      <c r="K12" t="e">
        <f t="shared" si="0"/>
        <v>#REF!</v>
      </c>
      <c r="M12" s="5" t="e">
        <f t="shared" si="1"/>
        <v>#REF!</v>
      </c>
    </row>
    <row r="13" spans="2:15" x14ac:dyDescent="0.25">
      <c r="B13">
        <v>2021</v>
      </c>
      <c r="C13">
        <f>Калькулятор!$A$55</f>
        <v>5287.0460533104051</v>
      </c>
      <c r="E13" t="e">
        <f t="shared" si="2"/>
        <v>#REF!</v>
      </c>
      <c r="G13" t="e">
        <f t="shared" si="3"/>
        <v>#REF!</v>
      </c>
      <c r="K13" t="e">
        <f t="shared" si="0"/>
        <v>#REF!</v>
      </c>
      <c r="M13" s="5" t="e">
        <f t="shared" si="1"/>
        <v>#REF!</v>
      </c>
    </row>
    <row r="14" spans="2:15" x14ac:dyDescent="0.25">
      <c r="B14">
        <v>2022</v>
      </c>
      <c r="C14">
        <f>Калькулятор!$A$55</f>
        <v>5287.0460533104051</v>
      </c>
      <c r="E14" t="e">
        <f t="shared" si="2"/>
        <v>#REF!</v>
      </c>
      <c r="G14" t="e">
        <f t="shared" si="3"/>
        <v>#REF!</v>
      </c>
      <c r="K14" t="e">
        <f t="shared" si="0"/>
        <v>#REF!</v>
      </c>
      <c r="M14" s="5" t="e">
        <f t="shared" si="1"/>
        <v>#REF!</v>
      </c>
    </row>
    <row r="15" spans="2:15" x14ac:dyDescent="0.25">
      <c r="B15">
        <v>2023</v>
      </c>
      <c r="C15">
        <f>Калькулятор!$A$55</f>
        <v>5287.0460533104051</v>
      </c>
      <c r="E15" t="e">
        <f t="shared" si="2"/>
        <v>#REF!</v>
      </c>
      <c r="G15" t="e">
        <f t="shared" si="3"/>
        <v>#REF!</v>
      </c>
      <c r="K15" t="e">
        <f t="shared" si="0"/>
        <v>#REF!</v>
      </c>
      <c r="M15" s="5" t="e">
        <f t="shared" si="1"/>
        <v>#REF!</v>
      </c>
    </row>
    <row r="16" spans="2:15" x14ac:dyDescent="0.25">
      <c r="B16">
        <v>2024</v>
      </c>
      <c r="C16">
        <f>Калькулятор!$A$55</f>
        <v>5287.0460533104051</v>
      </c>
      <c r="E16" t="e">
        <f t="shared" si="2"/>
        <v>#REF!</v>
      </c>
      <c r="G16" t="e">
        <f t="shared" si="3"/>
        <v>#REF!</v>
      </c>
      <c r="K16" t="e">
        <f t="shared" si="0"/>
        <v>#REF!</v>
      </c>
      <c r="M16" s="5" t="e">
        <f t="shared" si="1"/>
        <v>#REF!</v>
      </c>
    </row>
  </sheetData>
  <mergeCells count="1">
    <mergeCell ref="C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5" sqref="D5"/>
    </sheetView>
  </sheetViews>
  <sheetFormatPr defaultRowHeight="15" x14ac:dyDescent="0.25"/>
  <cols>
    <col min="1" max="1" width="26" customWidth="1"/>
    <col min="4" max="4" width="32.42578125" customWidth="1"/>
    <col min="5" max="5" width="42.85546875" customWidth="1"/>
  </cols>
  <sheetData>
    <row r="1" spans="1:5" ht="17.25" customHeight="1" x14ac:dyDescent="0.25">
      <c r="A1" s="1" t="s">
        <v>35</v>
      </c>
      <c r="B1" s="2" t="s">
        <v>36</v>
      </c>
      <c r="C1" s="2" t="s">
        <v>37</v>
      </c>
      <c r="D1" s="7" t="s">
        <v>38</v>
      </c>
      <c r="E1" s="1" t="s">
        <v>322</v>
      </c>
    </row>
    <row r="2" spans="1:5" ht="21" x14ac:dyDescent="0.35">
      <c r="A2" s="8" t="s">
        <v>39</v>
      </c>
      <c r="B2" s="66">
        <v>-21</v>
      </c>
      <c r="C2" s="66">
        <v>2.2000000000000002</v>
      </c>
      <c r="D2" s="66">
        <v>157</v>
      </c>
      <c r="E2" s="42">
        <v>0.108</v>
      </c>
    </row>
    <row r="3" spans="1:5" ht="42" x14ac:dyDescent="0.35">
      <c r="A3" s="8" t="s">
        <v>40</v>
      </c>
      <c r="B3" s="66">
        <v>-21</v>
      </c>
      <c r="C3" s="66">
        <v>-0.2</v>
      </c>
      <c r="D3" s="66">
        <v>182</v>
      </c>
      <c r="E3" s="42">
        <v>0.15</v>
      </c>
    </row>
    <row r="4" spans="1:5" ht="42" x14ac:dyDescent="0.35">
      <c r="A4" s="8" t="s">
        <v>41</v>
      </c>
      <c r="B4" s="66">
        <v>-20</v>
      </c>
      <c r="C4" s="66">
        <v>0.3</v>
      </c>
      <c r="D4" s="66">
        <v>180</v>
      </c>
      <c r="E4" s="42">
        <v>0.14199999999999999</v>
      </c>
    </row>
    <row r="5" spans="1:5" ht="42" x14ac:dyDescent="0.35">
      <c r="A5" s="8" t="s">
        <v>42</v>
      </c>
      <c r="B5" s="66">
        <v>-24</v>
      </c>
      <c r="C5" s="66">
        <v>-0.2</v>
      </c>
      <c r="D5" s="66">
        <v>172</v>
      </c>
      <c r="E5" s="42">
        <v>0.13500000000000001</v>
      </c>
    </row>
    <row r="6" spans="1:5" ht="42" x14ac:dyDescent="0.35">
      <c r="A6" s="8" t="s">
        <v>43</v>
      </c>
      <c r="B6" s="66">
        <v>-22</v>
      </c>
      <c r="C6" s="66">
        <v>-0.5</v>
      </c>
      <c r="D6" s="66">
        <v>176</v>
      </c>
      <c r="E6" s="42">
        <v>0.14899999999999999</v>
      </c>
    </row>
    <row r="7" spans="1:5" ht="42" x14ac:dyDescent="0.35">
      <c r="A7" s="8" t="s">
        <v>44</v>
      </c>
      <c r="B7" s="66">
        <v>-22</v>
      </c>
      <c r="C7" s="66">
        <v>-0.2</v>
      </c>
      <c r="D7" s="66">
        <v>184</v>
      </c>
      <c r="E7" s="42">
        <v>0.151</v>
      </c>
    </row>
    <row r="8" spans="1:5" ht="42" x14ac:dyDescent="0.35">
      <c r="A8" s="8" t="s">
        <v>45</v>
      </c>
      <c r="B8" s="66">
        <v>-18</v>
      </c>
      <c r="C8" s="66">
        <v>1.4</v>
      </c>
      <c r="D8" s="66">
        <v>154</v>
      </c>
      <c r="E8" s="42">
        <v>0.11700000000000001</v>
      </c>
    </row>
    <row r="9" spans="1:5" ht="42" x14ac:dyDescent="0.35">
      <c r="A9" s="8" t="s">
        <v>46</v>
      </c>
      <c r="B9" s="66">
        <v>-24</v>
      </c>
      <c r="C9" s="66">
        <v>0.6</v>
      </c>
      <c r="D9" s="66">
        <v>166</v>
      </c>
      <c r="E9" s="42">
        <v>0.13300000000000001</v>
      </c>
    </row>
    <row r="10" spans="1:5" ht="63" x14ac:dyDescent="0.35">
      <c r="A10" s="8" t="s">
        <v>312</v>
      </c>
      <c r="B10" s="66">
        <v>-20</v>
      </c>
      <c r="C10" s="66">
        <v>0.4</v>
      </c>
      <c r="D10" s="66">
        <v>179</v>
      </c>
      <c r="E10" s="42">
        <v>0.14099999999999999</v>
      </c>
    </row>
    <row r="11" spans="1:5" ht="21" x14ac:dyDescent="0.35">
      <c r="A11" s="8" t="s">
        <v>229</v>
      </c>
      <c r="B11" s="66">
        <v>-22</v>
      </c>
      <c r="C11" s="66">
        <v>-0.1</v>
      </c>
      <c r="D11" s="66">
        <v>176</v>
      </c>
      <c r="E11" s="42">
        <v>0.14699999999999999</v>
      </c>
    </row>
    <row r="12" spans="1:5" ht="21" x14ac:dyDescent="0.35">
      <c r="A12" s="8" t="s">
        <v>47</v>
      </c>
      <c r="B12" s="66">
        <v>-22</v>
      </c>
      <c r="C12" s="66">
        <v>-0.1</v>
      </c>
      <c r="D12" s="66">
        <v>176</v>
      </c>
      <c r="E12" s="42">
        <v>0.14799999999999999</v>
      </c>
    </row>
    <row r="13" spans="1:5" ht="42" x14ac:dyDescent="0.35">
      <c r="A13" s="8" t="s">
        <v>48</v>
      </c>
      <c r="B13" s="66">
        <v>-22</v>
      </c>
      <c r="C13" s="66">
        <v>-0.3</v>
      </c>
      <c r="D13" s="66">
        <v>175</v>
      </c>
      <c r="E13" s="42">
        <v>0.14399999999999999</v>
      </c>
    </row>
    <row r="14" spans="1:5" ht="42" x14ac:dyDescent="0.35">
      <c r="A14" s="8" t="s">
        <v>49</v>
      </c>
      <c r="B14" s="66">
        <v>-25</v>
      </c>
      <c r="C14" s="66">
        <v>-0.4</v>
      </c>
      <c r="D14" s="66">
        <v>172</v>
      </c>
      <c r="E14" s="42">
        <v>0.14399999999999999</v>
      </c>
    </row>
    <row r="15" spans="1:5" ht="42" x14ac:dyDescent="0.35">
      <c r="A15" s="8" t="s">
        <v>50</v>
      </c>
      <c r="B15" s="66">
        <v>-19</v>
      </c>
      <c r="C15" s="66">
        <v>0.4</v>
      </c>
      <c r="D15" s="66">
        <v>179</v>
      </c>
      <c r="E15" s="42">
        <v>0.14899999999999999</v>
      </c>
    </row>
    <row r="16" spans="1:5" ht="42" x14ac:dyDescent="0.35">
      <c r="A16" s="8" t="s">
        <v>51</v>
      </c>
      <c r="B16" s="66">
        <v>-20</v>
      </c>
      <c r="C16" s="66">
        <v>1.1000000000000001</v>
      </c>
      <c r="D16" s="66">
        <v>161</v>
      </c>
      <c r="E16" s="42">
        <v>0.123</v>
      </c>
    </row>
    <row r="17" spans="1:5" ht="21" x14ac:dyDescent="0.25">
      <c r="A17" s="41" t="s">
        <v>52</v>
      </c>
      <c r="B17" s="66">
        <v>-18</v>
      </c>
      <c r="C17" s="66">
        <v>2</v>
      </c>
      <c r="D17" s="66">
        <v>158</v>
      </c>
      <c r="E17" s="42">
        <v>0.13200000000000001</v>
      </c>
    </row>
    <row r="18" spans="1:5" ht="42" x14ac:dyDescent="0.35">
      <c r="A18" s="8" t="s">
        <v>53</v>
      </c>
      <c r="B18" s="66">
        <v>-23</v>
      </c>
      <c r="C18" s="66">
        <v>-0.8</v>
      </c>
      <c r="D18" s="66">
        <v>178</v>
      </c>
      <c r="E18" s="42">
        <v>0.153</v>
      </c>
    </row>
    <row r="19" spans="1:5" ht="42" x14ac:dyDescent="0.35">
      <c r="A19" s="8" t="s">
        <v>307</v>
      </c>
      <c r="B19" s="66">
        <v>-21</v>
      </c>
      <c r="C19" s="66">
        <v>0.1</v>
      </c>
      <c r="D19" s="66">
        <v>182</v>
      </c>
      <c r="E19" s="42">
        <v>0.14599999999999999</v>
      </c>
    </row>
    <row r="20" spans="1:5" ht="21" x14ac:dyDescent="0.25">
      <c r="A20" s="41" t="s">
        <v>54</v>
      </c>
      <c r="B20" s="66">
        <v>-25</v>
      </c>
      <c r="C20" s="66">
        <v>-1.4</v>
      </c>
      <c r="D20" s="66">
        <v>187</v>
      </c>
      <c r="E20" s="42">
        <v>0.16300000000000001</v>
      </c>
    </row>
    <row r="21" spans="1:5" ht="42" x14ac:dyDescent="0.35">
      <c r="A21" s="8" t="s">
        <v>55</v>
      </c>
      <c r="B21" s="66">
        <v>-20</v>
      </c>
      <c r="C21" s="66">
        <v>-0.2</v>
      </c>
      <c r="D21" s="66">
        <v>184</v>
      </c>
      <c r="E21" s="42">
        <v>0.14799999999999999</v>
      </c>
    </row>
    <row r="22" spans="1:5" ht="42" x14ac:dyDescent="0.35">
      <c r="A22" s="8" t="s">
        <v>56</v>
      </c>
      <c r="B22" s="66">
        <v>-23</v>
      </c>
      <c r="C22" s="66">
        <v>-1</v>
      </c>
      <c r="D22" s="66">
        <v>179</v>
      </c>
      <c r="E22" s="42">
        <v>0.158</v>
      </c>
    </row>
    <row r="23" spans="1:5" ht="42" x14ac:dyDescent="0.35">
      <c r="A23" s="8" t="s">
        <v>57</v>
      </c>
      <c r="B23" s="66">
        <v>-19</v>
      </c>
      <c r="C23" s="66">
        <v>1.3</v>
      </c>
      <c r="D23" s="66">
        <v>163</v>
      </c>
      <c r="E23" s="42">
        <v>0.126</v>
      </c>
    </row>
    <row r="24" spans="1:5" ht="42" x14ac:dyDescent="0.35">
      <c r="A24" s="8" t="s">
        <v>58</v>
      </c>
      <c r="B24" s="66">
        <v>-21</v>
      </c>
      <c r="C24" s="66">
        <v>-0.1</v>
      </c>
      <c r="D24" s="66">
        <v>183</v>
      </c>
      <c r="E24" s="42">
        <v>0.14799999999999999</v>
      </c>
    </row>
    <row r="25" spans="1:5" ht="42" x14ac:dyDescent="0.35">
      <c r="A25" s="8" t="s">
        <v>59</v>
      </c>
      <c r="B25" s="66">
        <v>-21</v>
      </c>
      <c r="C25" s="66">
        <v>-0.3</v>
      </c>
      <c r="D25" s="66">
        <v>178</v>
      </c>
      <c r="E25" s="42">
        <v>0.14899999999999999</v>
      </c>
    </row>
    <row r="26" spans="1:5" ht="42" x14ac:dyDescent="0.35">
      <c r="A26" s="8" t="s">
        <v>60</v>
      </c>
      <c r="B26" s="66">
        <v>-20</v>
      </c>
      <c r="C26" s="66">
        <v>0.5</v>
      </c>
      <c r="D26" s="66">
        <v>175</v>
      </c>
      <c r="E26" s="42">
        <v>0.13800000000000001</v>
      </c>
    </row>
    <row r="27" spans="1:5" ht="42" x14ac:dyDescent="0.35">
      <c r="A27" s="8" t="s">
        <v>61</v>
      </c>
      <c r="B27" s="66">
        <v>-23</v>
      </c>
      <c r="C27" s="66">
        <v>-0.9</v>
      </c>
      <c r="D27" s="66">
        <v>187</v>
      </c>
      <c r="E27" s="42">
        <v>0.155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11" sqref="I11"/>
    </sheetView>
  </sheetViews>
  <sheetFormatPr defaultRowHeight="15" x14ac:dyDescent="0.25"/>
  <cols>
    <col min="1" max="3" width="9.140625" customWidth="1"/>
    <col min="4" max="4" width="11.5703125" customWidth="1"/>
    <col min="10" max="10" width="11.5703125" customWidth="1"/>
  </cols>
  <sheetData>
    <row r="1" spans="1:13" x14ac:dyDescent="0.25">
      <c r="A1" s="111" t="s">
        <v>85</v>
      </c>
      <c r="B1" s="111"/>
      <c r="C1" s="111"/>
      <c r="D1" s="111"/>
      <c r="E1" s="111"/>
      <c r="F1" s="111"/>
    </row>
    <row r="2" spans="1:13" x14ac:dyDescent="0.25">
      <c r="A2" s="110" t="s">
        <v>86</v>
      </c>
      <c r="B2" s="110"/>
      <c r="C2" s="110"/>
      <c r="D2" s="110"/>
      <c r="E2" s="110"/>
      <c r="F2" s="110"/>
    </row>
    <row r="3" spans="1:13" x14ac:dyDescent="0.25">
      <c r="A3" s="110" t="s">
        <v>87</v>
      </c>
      <c r="B3" s="110"/>
      <c r="C3" s="110"/>
      <c r="D3" s="110"/>
      <c r="E3" s="22">
        <v>3.6</v>
      </c>
      <c r="F3" s="2" t="s">
        <v>89</v>
      </c>
    </row>
    <row r="4" spans="1:13" x14ac:dyDescent="0.25">
      <c r="A4" s="110" t="s">
        <v>88</v>
      </c>
      <c r="B4" s="110"/>
      <c r="C4" s="110"/>
      <c r="D4" s="110"/>
      <c r="E4" s="2">
        <v>7.1879999999999997</v>
      </c>
      <c r="F4" s="2" t="s">
        <v>89</v>
      </c>
    </row>
    <row r="7" spans="1:13" x14ac:dyDescent="0.25">
      <c r="A7" s="23"/>
    </row>
    <row r="8" spans="1:13" x14ac:dyDescent="0.25">
      <c r="A8" s="24"/>
      <c r="B8" s="111" t="s">
        <v>98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x14ac:dyDescent="0.25">
      <c r="A9" s="26" t="s">
        <v>91</v>
      </c>
      <c r="B9" s="25" t="s">
        <v>90</v>
      </c>
    </row>
    <row r="10" spans="1:13" x14ac:dyDescent="0.25">
      <c r="B10" s="112" t="s">
        <v>92</v>
      </c>
      <c r="C10" s="112"/>
      <c r="D10" s="112"/>
      <c r="E10" s="112"/>
      <c r="F10" s="112"/>
      <c r="G10" s="112"/>
      <c r="H10" s="112"/>
    </row>
    <row r="11" spans="1:13" x14ac:dyDescent="0.25">
      <c r="B11" s="112" t="s">
        <v>93</v>
      </c>
      <c r="C11" s="112"/>
      <c r="D11" s="112"/>
      <c r="E11" s="112"/>
      <c r="F11" s="112"/>
      <c r="G11" s="112"/>
      <c r="H11" s="112"/>
      <c r="I11" s="2">
        <v>0.45600000000000002</v>
      </c>
      <c r="J11" s="2" t="s">
        <v>94</v>
      </c>
    </row>
    <row r="12" spans="1:13" x14ac:dyDescent="0.25">
      <c r="B12" s="112" t="s">
        <v>95</v>
      </c>
      <c r="C12" s="112"/>
      <c r="D12" s="112"/>
      <c r="E12" s="112"/>
      <c r="F12" s="112"/>
      <c r="G12" s="112"/>
      <c r="H12" s="112"/>
      <c r="I12" s="2">
        <v>1.4790000000000001</v>
      </c>
      <c r="J12" s="2" t="s">
        <v>94</v>
      </c>
    </row>
    <row r="14" spans="1:13" x14ac:dyDescent="0.25">
      <c r="A14" s="26" t="s">
        <v>97</v>
      </c>
      <c r="B14" s="25" t="s">
        <v>96</v>
      </c>
    </row>
    <row r="15" spans="1:13" x14ac:dyDescent="0.25">
      <c r="B15" s="112" t="s">
        <v>92</v>
      </c>
      <c r="C15" s="112"/>
      <c r="D15" s="112"/>
      <c r="E15" s="112"/>
      <c r="F15" s="112"/>
      <c r="G15" s="112"/>
      <c r="H15" s="112"/>
    </row>
    <row r="16" spans="1:13" x14ac:dyDescent="0.25">
      <c r="B16" s="112" t="s">
        <v>93</v>
      </c>
      <c r="C16" s="112"/>
      <c r="D16" s="112"/>
      <c r="E16" s="112"/>
      <c r="F16" s="112"/>
      <c r="G16" s="112"/>
      <c r="H16" s="112"/>
      <c r="I16" s="2">
        <v>0.45600000000000002</v>
      </c>
      <c r="J16" s="2" t="s">
        <v>94</v>
      </c>
    </row>
    <row r="17" spans="2:10" x14ac:dyDescent="0.25">
      <c r="B17" s="112" t="s">
        <v>95</v>
      </c>
      <c r="C17" s="112"/>
      <c r="D17" s="112"/>
      <c r="E17" s="112"/>
      <c r="F17" s="112"/>
      <c r="G17" s="112"/>
      <c r="H17" s="112"/>
      <c r="I17" s="2">
        <v>1.4790000000000001</v>
      </c>
      <c r="J17" s="2" t="s">
        <v>94</v>
      </c>
    </row>
  </sheetData>
  <mergeCells count="11">
    <mergeCell ref="A3:D3"/>
    <mergeCell ref="A4:D4"/>
    <mergeCell ref="A2:F2"/>
    <mergeCell ref="A1:F1"/>
    <mergeCell ref="B17:H17"/>
    <mergeCell ref="B8:M8"/>
    <mergeCell ref="B11:H11"/>
    <mergeCell ref="B10:H10"/>
    <mergeCell ref="B12:H12"/>
    <mergeCell ref="B15:H15"/>
    <mergeCell ref="B16:H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28"/>
  <sheetViews>
    <sheetView topLeftCell="A16" workbookViewId="0">
      <selection activeCell="D26" sqref="D26"/>
    </sheetView>
  </sheetViews>
  <sheetFormatPr defaultRowHeight="15" x14ac:dyDescent="0.25"/>
  <cols>
    <col min="1" max="1" width="70" customWidth="1"/>
  </cols>
  <sheetData>
    <row r="4" spans="1:2" x14ac:dyDescent="0.25">
      <c r="A4" s="38" t="s">
        <v>40</v>
      </c>
    </row>
    <row r="5" spans="1:2" ht="13.5" customHeight="1" x14ac:dyDescent="0.25">
      <c r="A5" s="39" t="s">
        <v>84</v>
      </c>
    </row>
    <row r="6" spans="1:2" x14ac:dyDescent="0.25">
      <c r="A6" s="37" t="s">
        <v>129</v>
      </c>
      <c r="B6" s="40">
        <v>334.96805709331198</v>
      </c>
    </row>
    <row r="7" spans="1:2" x14ac:dyDescent="0.25">
      <c r="A7" s="37" t="s">
        <v>130</v>
      </c>
      <c r="B7" s="40">
        <v>689.5655258065741</v>
      </c>
    </row>
    <row r="8" spans="1:2" x14ac:dyDescent="0.25">
      <c r="A8" s="37" t="s">
        <v>131</v>
      </c>
      <c r="B8" s="40">
        <v>761.26819940464259</v>
      </c>
    </row>
    <row r="9" spans="1:2" x14ac:dyDescent="0.25">
      <c r="A9" s="37" t="s">
        <v>132</v>
      </c>
      <c r="B9" s="40">
        <v>638.40162388028307</v>
      </c>
    </row>
    <row r="10" spans="1:2" x14ac:dyDescent="0.25">
      <c r="A10" s="37" t="s">
        <v>133</v>
      </c>
      <c r="B10" s="40">
        <v>508.69774690717236</v>
      </c>
    </row>
    <row r="11" spans="1:2" ht="15" customHeight="1" x14ac:dyDescent="0.25">
      <c r="A11" s="38" t="s">
        <v>41</v>
      </c>
      <c r="B11">
        <v>0</v>
      </c>
    </row>
    <row r="12" spans="1:2" x14ac:dyDescent="0.25">
      <c r="A12" s="39" t="s">
        <v>84</v>
      </c>
      <c r="B12">
        <v>0</v>
      </c>
    </row>
    <row r="13" spans="1:2" ht="30" x14ac:dyDescent="0.25">
      <c r="A13" s="37" t="s">
        <v>134</v>
      </c>
      <c r="B13" s="40">
        <v>690.3358490112297</v>
      </c>
    </row>
    <row r="14" spans="1:2" x14ac:dyDescent="0.25">
      <c r="A14" s="37" t="s">
        <v>135</v>
      </c>
      <c r="B14" s="40">
        <v>681.95583324391328</v>
      </c>
    </row>
    <row r="15" spans="1:2" ht="30" x14ac:dyDescent="0.25">
      <c r="A15" s="37" t="s">
        <v>136</v>
      </c>
      <c r="B15" s="40">
        <v>697.35559415472744</v>
      </c>
    </row>
    <row r="16" spans="1:2" x14ac:dyDescent="0.25">
      <c r="A16" s="37" t="s">
        <v>137</v>
      </c>
      <c r="B16" s="40">
        <v>701.21009392657368</v>
      </c>
    </row>
    <row r="17" spans="1:2" x14ac:dyDescent="0.25">
      <c r="A17" s="37" t="s">
        <v>138</v>
      </c>
      <c r="B17" s="40">
        <v>507.5064310828252</v>
      </c>
    </row>
    <row r="18" spans="1:2" ht="14.25" customHeight="1" x14ac:dyDescent="0.25">
      <c r="A18" s="38" t="s">
        <v>42</v>
      </c>
      <c r="B18">
        <v>0</v>
      </c>
    </row>
    <row r="19" spans="1:2" x14ac:dyDescent="0.25">
      <c r="A19" s="39" t="s">
        <v>84</v>
      </c>
      <c r="B19">
        <v>0</v>
      </c>
    </row>
    <row r="20" spans="1:2" x14ac:dyDescent="0.25">
      <c r="A20" s="37" t="s">
        <v>139</v>
      </c>
      <c r="B20" s="40">
        <v>653.19697475903206</v>
      </c>
    </row>
    <row r="21" spans="1:2" ht="30" x14ac:dyDescent="0.25">
      <c r="A21" s="37" t="s">
        <v>140</v>
      </c>
      <c r="B21" s="40">
        <v>354.68909262642012</v>
      </c>
    </row>
    <row r="22" spans="1:2" x14ac:dyDescent="0.25">
      <c r="A22" s="37" t="s">
        <v>141</v>
      </c>
      <c r="B22" s="40">
        <v>668.30399999999997</v>
      </c>
    </row>
    <row r="23" spans="1:2" x14ac:dyDescent="0.25">
      <c r="A23" s="37" t="s">
        <v>142</v>
      </c>
      <c r="B23" s="40">
        <v>738.00497201696419</v>
      </c>
    </row>
    <row r="24" spans="1:2" x14ac:dyDescent="0.25">
      <c r="A24" s="37" t="s">
        <v>143</v>
      </c>
      <c r="B24" s="40">
        <v>466.02039798178595</v>
      </c>
    </row>
    <row r="25" spans="1:2" x14ac:dyDescent="0.25">
      <c r="A25" s="37" t="s">
        <v>144</v>
      </c>
      <c r="B25" s="40">
        <v>693.36688064952523</v>
      </c>
    </row>
    <row r="26" spans="1:2" x14ac:dyDescent="0.25">
      <c r="A26" s="37" t="s">
        <v>145</v>
      </c>
      <c r="B26" s="40">
        <v>695.18330244580272</v>
      </c>
    </row>
    <row r="27" spans="1:2" x14ac:dyDescent="0.25">
      <c r="A27" s="37" t="s">
        <v>146</v>
      </c>
      <c r="B27" s="40">
        <v>742.57699228970228</v>
      </c>
    </row>
    <row r="28" spans="1:2" x14ac:dyDescent="0.25">
      <c r="A28" s="37" t="s">
        <v>147</v>
      </c>
      <c r="B28" s="40">
        <v>707.60399999999993</v>
      </c>
    </row>
    <row r="29" spans="1:2" x14ac:dyDescent="0.25">
      <c r="A29" s="37" t="s">
        <v>148</v>
      </c>
      <c r="B29" s="40">
        <v>944.66508747662886</v>
      </c>
    </row>
    <row r="30" spans="1:2" x14ac:dyDescent="0.25">
      <c r="A30" s="37" t="s">
        <v>149</v>
      </c>
      <c r="B30" s="40">
        <v>702.1774537106611</v>
      </c>
    </row>
    <row r="31" spans="1:2" x14ac:dyDescent="0.25">
      <c r="A31" s="37" t="s">
        <v>150</v>
      </c>
      <c r="B31" s="40">
        <v>674.79600000000005</v>
      </c>
    </row>
    <row r="32" spans="1:2" x14ac:dyDescent="0.25">
      <c r="A32" s="37" t="s">
        <v>151</v>
      </c>
      <c r="B32" s="40">
        <v>773.61874978116782</v>
      </c>
    </row>
    <row r="33" spans="1:2" x14ac:dyDescent="0.25">
      <c r="A33" s="37" t="s">
        <v>152</v>
      </c>
      <c r="B33" s="40">
        <v>688.6100218529017</v>
      </c>
    </row>
    <row r="34" spans="1:2" x14ac:dyDescent="0.25">
      <c r="A34" s="37" t="s">
        <v>153</v>
      </c>
      <c r="B34" s="40">
        <v>385.44272513651759</v>
      </c>
    </row>
    <row r="35" spans="1:2" x14ac:dyDescent="0.25">
      <c r="A35" s="37" t="s">
        <v>154</v>
      </c>
      <c r="B35" s="40">
        <v>396.56549051253211</v>
      </c>
    </row>
    <row r="36" spans="1:2" x14ac:dyDescent="0.25">
      <c r="A36" s="37" t="s">
        <v>155</v>
      </c>
      <c r="B36" s="40">
        <v>409.34804942283853</v>
      </c>
    </row>
    <row r="37" spans="1:2" x14ac:dyDescent="0.25">
      <c r="A37" s="37" t="s">
        <v>156</v>
      </c>
      <c r="B37" s="40">
        <v>608.65273502149626</v>
      </c>
    </row>
    <row r="38" spans="1:2" x14ac:dyDescent="0.25">
      <c r="A38" s="38" t="s">
        <v>43</v>
      </c>
      <c r="B38">
        <v>0</v>
      </c>
    </row>
    <row r="39" spans="1:2" x14ac:dyDescent="0.25">
      <c r="A39" s="39" t="s">
        <v>84</v>
      </c>
      <c r="B39">
        <v>0</v>
      </c>
    </row>
    <row r="40" spans="1:2" x14ac:dyDescent="0.25">
      <c r="A40" s="37" t="s">
        <v>157</v>
      </c>
      <c r="B40" s="40">
        <v>669.11436563875543</v>
      </c>
    </row>
    <row r="41" spans="1:2" x14ac:dyDescent="0.25">
      <c r="A41" s="37" t="s">
        <v>158</v>
      </c>
      <c r="B41" s="40">
        <v>684.12489581826878</v>
      </c>
    </row>
    <row r="42" spans="1:2" x14ac:dyDescent="0.25">
      <c r="A42" s="37" t="s">
        <v>159</v>
      </c>
      <c r="B42" s="40">
        <v>645.98527301802767</v>
      </c>
    </row>
    <row r="43" spans="1:2" x14ac:dyDescent="0.25">
      <c r="A43" s="37" t="s">
        <v>160</v>
      </c>
      <c r="B43" s="40">
        <v>746.20799999999997</v>
      </c>
    </row>
    <row r="44" spans="1:2" x14ac:dyDescent="0.25">
      <c r="A44" s="37" t="s">
        <v>161</v>
      </c>
      <c r="B44" s="40">
        <v>753.55290628468288</v>
      </c>
    </row>
    <row r="45" spans="1:2" x14ac:dyDescent="0.25">
      <c r="A45" s="37" t="s">
        <v>162</v>
      </c>
      <c r="B45" s="40">
        <v>738.73392645795695</v>
      </c>
    </row>
    <row r="46" spans="1:2" x14ac:dyDescent="0.25">
      <c r="A46" s="37" t="s">
        <v>163</v>
      </c>
      <c r="B46" s="40">
        <v>779.5600818216592</v>
      </c>
    </row>
    <row r="47" spans="1:2" x14ac:dyDescent="0.25">
      <c r="A47" s="37" t="s">
        <v>164</v>
      </c>
      <c r="B47" s="40">
        <v>788.23199999999997</v>
      </c>
    </row>
    <row r="48" spans="1:2" x14ac:dyDescent="0.25">
      <c r="A48" s="37" t="s">
        <v>165</v>
      </c>
      <c r="B48" s="40">
        <v>310.21199999999999</v>
      </c>
    </row>
    <row r="49" spans="1:2" x14ac:dyDescent="0.25">
      <c r="A49" s="37" t="s">
        <v>166</v>
      </c>
      <c r="B49" s="40">
        <v>461.91899063712629</v>
      </c>
    </row>
    <row r="50" spans="1:2" x14ac:dyDescent="0.25">
      <c r="A50" s="37" t="s">
        <v>167</v>
      </c>
      <c r="B50" s="40">
        <v>645.86716386356989</v>
      </c>
    </row>
    <row r="51" spans="1:2" x14ac:dyDescent="0.25">
      <c r="A51" s="37" t="s">
        <v>168</v>
      </c>
      <c r="B51" s="40">
        <v>693.98094757170236</v>
      </c>
    </row>
    <row r="52" spans="1:2" x14ac:dyDescent="0.25">
      <c r="A52" s="37" t="s">
        <v>169</v>
      </c>
      <c r="B52" s="40">
        <v>478.6665028674696</v>
      </c>
    </row>
    <row r="53" spans="1:2" x14ac:dyDescent="0.25">
      <c r="A53" s="37" t="s">
        <v>170</v>
      </c>
      <c r="B53" s="40">
        <v>654.05999999999995</v>
      </c>
    </row>
    <row r="54" spans="1:2" x14ac:dyDescent="0.25">
      <c r="A54" s="37" t="s">
        <v>171</v>
      </c>
      <c r="B54" s="40">
        <v>646.65150943508377</v>
      </c>
    </row>
    <row r="55" spans="1:2" x14ac:dyDescent="0.25">
      <c r="A55" s="37" t="s">
        <v>172</v>
      </c>
      <c r="B55" s="40">
        <v>513.93450286746952</v>
      </c>
    </row>
    <row r="56" spans="1:2" x14ac:dyDescent="0.25">
      <c r="A56" s="37" t="s">
        <v>173</v>
      </c>
      <c r="B56" s="40">
        <v>477.37148223421758</v>
      </c>
    </row>
    <row r="57" spans="1:2" x14ac:dyDescent="0.25">
      <c r="A57" s="37" t="s">
        <v>174</v>
      </c>
      <c r="B57" s="40">
        <v>906.0979257810526</v>
      </c>
    </row>
    <row r="58" spans="1:2" x14ac:dyDescent="0.25">
      <c r="A58" s="38" t="s">
        <v>44</v>
      </c>
      <c r="B58">
        <v>0</v>
      </c>
    </row>
    <row r="59" spans="1:2" x14ac:dyDescent="0.25">
      <c r="A59" s="39" t="s">
        <v>84</v>
      </c>
      <c r="B59">
        <v>0</v>
      </c>
    </row>
    <row r="60" spans="1:2" x14ac:dyDescent="0.25">
      <c r="A60" s="37" t="s">
        <v>175</v>
      </c>
      <c r="B60" s="40">
        <v>672.62921477019404</v>
      </c>
    </row>
    <row r="61" spans="1:2" x14ac:dyDescent="0.25">
      <c r="A61" s="37" t="s">
        <v>176</v>
      </c>
      <c r="B61" s="40">
        <v>613.476</v>
      </c>
    </row>
    <row r="62" spans="1:2" x14ac:dyDescent="0.25">
      <c r="A62" s="37" t="s">
        <v>177</v>
      </c>
      <c r="B62" s="40">
        <v>682.19374386057632</v>
      </c>
    </row>
    <row r="63" spans="1:2" ht="30" x14ac:dyDescent="0.25">
      <c r="A63" s="37" t="s">
        <v>178</v>
      </c>
      <c r="B63" s="40">
        <v>615.37912591522456</v>
      </c>
    </row>
    <row r="64" spans="1:2" x14ac:dyDescent="0.25">
      <c r="A64" s="37" t="s">
        <v>179</v>
      </c>
      <c r="B64" s="40">
        <v>617.18215595756669</v>
      </c>
    </row>
    <row r="65" spans="1:2" x14ac:dyDescent="0.25">
      <c r="A65" s="38" t="s">
        <v>46</v>
      </c>
      <c r="B65">
        <v>0</v>
      </c>
    </row>
    <row r="66" spans="1:2" x14ac:dyDescent="0.25">
      <c r="A66" s="39" t="s">
        <v>84</v>
      </c>
      <c r="B66">
        <v>0</v>
      </c>
    </row>
    <row r="67" spans="1:2" x14ac:dyDescent="0.25">
      <c r="A67" s="37" t="s">
        <v>180</v>
      </c>
      <c r="B67" s="40">
        <v>613.65599999999995</v>
      </c>
    </row>
    <row r="68" spans="1:2" x14ac:dyDescent="0.25">
      <c r="A68" s="37" t="s">
        <v>181</v>
      </c>
      <c r="B68" s="40">
        <v>642.48595277574441</v>
      </c>
    </row>
    <row r="69" spans="1:2" x14ac:dyDescent="0.25">
      <c r="A69" s="37" t="s">
        <v>182</v>
      </c>
      <c r="B69" s="40">
        <v>685.50196022261071</v>
      </c>
    </row>
    <row r="70" spans="1:2" x14ac:dyDescent="0.25">
      <c r="A70" s="37" t="s">
        <v>183</v>
      </c>
      <c r="B70" s="40">
        <v>762.69189359077996</v>
      </c>
    </row>
    <row r="71" spans="1:2" x14ac:dyDescent="0.25">
      <c r="A71" s="37" t="s">
        <v>184</v>
      </c>
      <c r="B71" s="40">
        <v>614.86407244231623</v>
      </c>
    </row>
    <row r="72" spans="1:2" x14ac:dyDescent="0.25">
      <c r="A72" s="37" t="s">
        <v>185</v>
      </c>
      <c r="B72" s="40">
        <v>617.25945646851449</v>
      </c>
    </row>
    <row r="73" spans="1:2" x14ac:dyDescent="0.25">
      <c r="A73" s="38" t="s">
        <v>309</v>
      </c>
      <c r="B73">
        <v>0</v>
      </c>
    </row>
    <row r="74" spans="1:2" x14ac:dyDescent="0.25">
      <c r="A74" s="39" t="s">
        <v>84</v>
      </c>
      <c r="B74">
        <v>0</v>
      </c>
    </row>
    <row r="75" spans="1:2" x14ac:dyDescent="0.25">
      <c r="A75" s="37" t="s">
        <v>186</v>
      </c>
      <c r="B75" s="40">
        <v>632.88</v>
      </c>
    </row>
    <row r="76" spans="1:2" x14ac:dyDescent="0.25">
      <c r="A76" s="37" t="s">
        <v>187</v>
      </c>
      <c r="B76" s="40">
        <v>761.81329029976666</v>
      </c>
    </row>
    <row r="77" spans="1:2" x14ac:dyDescent="0.25">
      <c r="A77" s="37" t="s">
        <v>188</v>
      </c>
      <c r="B77" s="40">
        <v>709.25899750134658</v>
      </c>
    </row>
    <row r="78" spans="1:2" x14ac:dyDescent="0.25">
      <c r="A78" s="38" t="s">
        <v>47</v>
      </c>
      <c r="B78">
        <v>0</v>
      </c>
    </row>
    <row r="79" spans="1:2" x14ac:dyDescent="0.25">
      <c r="A79" s="39" t="s">
        <v>84</v>
      </c>
      <c r="B79">
        <v>0</v>
      </c>
    </row>
    <row r="80" spans="1:2" x14ac:dyDescent="0.25">
      <c r="A80" s="37" t="s">
        <v>189</v>
      </c>
      <c r="B80" s="40">
        <v>689.46123947374372</v>
      </c>
    </row>
    <row r="81" spans="1:2" ht="30" x14ac:dyDescent="0.25">
      <c r="A81" s="37" t="s">
        <v>190</v>
      </c>
      <c r="B81" s="40">
        <v>659.16622482945809</v>
      </c>
    </row>
    <row r="82" spans="1:2" x14ac:dyDescent="0.25">
      <c r="A82" s="37" t="s">
        <v>191</v>
      </c>
      <c r="B82" s="40">
        <v>616.30799999999999</v>
      </c>
    </row>
    <row r="83" spans="1:2" x14ac:dyDescent="0.25">
      <c r="A83" s="37" t="s">
        <v>192</v>
      </c>
      <c r="B83" s="40">
        <v>822.76173500209575</v>
      </c>
    </row>
    <row r="84" spans="1:2" ht="30" x14ac:dyDescent="0.25">
      <c r="A84" s="37" t="s">
        <v>193</v>
      </c>
      <c r="B84" s="40">
        <v>671.94532668396039</v>
      </c>
    </row>
    <row r="85" spans="1:2" x14ac:dyDescent="0.25">
      <c r="A85" s="37" t="s">
        <v>194</v>
      </c>
      <c r="B85" s="40">
        <v>644.38253296875303</v>
      </c>
    </row>
    <row r="86" spans="1:2" x14ac:dyDescent="0.25">
      <c r="A86" s="37" t="s">
        <v>195</v>
      </c>
      <c r="B86" s="40">
        <v>675.04623940483737</v>
      </c>
    </row>
    <row r="87" spans="1:2" x14ac:dyDescent="0.25">
      <c r="A87" s="37" t="s">
        <v>196</v>
      </c>
      <c r="B87" s="40">
        <v>645.93212391007796</v>
      </c>
    </row>
    <row r="88" spans="1:2" x14ac:dyDescent="0.25">
      <c r="A88" s="37" t="s">
        <v>197</v>
      </c>
      <c r="B88" s="40">
        <v>693.10735213860414</v>
      </c>
    </row>
    <row r="89" spans="1:2" x14ac:dyDescent="0.25">
      <c r="A89" s="37" t="s">
        <v>198</v>
      </c>
      <c r="B89" s="40">
        <v>567.54967991819069</v>
      </c>
    </row>
    <row r="90" spans="1:2" x14ac:dyDescent="0.25">
      <c r="A90" s="37" t="s">
        <v>199</v>
      </c>
      <c r="B90" s="40">
        <v>717.34467362947169</v>
      </c>
    </row>
    <row r="91" spans="1:2" x14ac:dyDescent="0.25">
      <c r="A91" s="38" t="s">
        <v>48</v>
      </c>
      <c r="B91">
        <v>0</v>
      </c>
    </row>
    <row r="92" spans="1:2" x14ac:dyDescent="0.25">
      <c r="A92" s="39" t="s">
        <v>84</v>
      </c>
      <c r="B92">
        <v>0</v>
      </c>
    </row>
    <row r="93" spans="1:2" ht="30" x14ac:dyDescent="0.25">
      <c r="A93" s="37" t="s">
        <v>200</v>
      </c>
      <c r="B93" s="40">
        <v>735.46877849897965</v>
      </c>
    </row>
    <row r="94" spans="1:2" x14ac:dyDescent="0.25">
      <c r="A94" s="37" t="s">
        <v>201</v>
      </c>
      <c r="B94" s="40">
        <v>658.73410924209372</v>
      </c>
    </row>
    <row r="95" spans="1:2" x14ac:dyDescent="0.25">
      <c r="A95" s="37" t="s">
        <v>202</v>
      </c>
      <c r="B95" s="40">
        <v>696.06054805929966</v>
      </c>
    </row>
    <row r="96" spans="1:2" x14ac:dyDescent="0.25">
      <c r="A96" s="37" t="s">
        <v>203</v>
      </c>
      <c r="B96" s="40">
        <v>638.88145640264463</v>
      </c>
    </row>
    <row r="97" spans="1:2" x14ac:dyDescent="0.25">
      <c r="A97" s="37" t="s">
        <v>204</v>
      </c>
      <c r="B97" s="40">
        <v>619.1553022557506</v>
      </c>
    </row>
    <row r="98" spans="1:2" x14ac:dyDescent="0.25">
      <c r="A98" s="38" t="s">
        <v>49</v>
      </c>
      <c r="B98">
        <v>0</v>
      </c>
    </row>
    <row r="99" spans="1:2" x14ac:dyDescent="0.25">
      <c r="A99" s="39" t="s">
        <v>84</v>
      </c>
      <c r="B99">
        <v>0</v>
      </c>
    </row>
    <row r="100" spans="1:2" x14ac:dyDescent="0.25">
      <c r="A100" s="37" t="s">
        <v>205</v>
      </c>
      <c r="B100" s="40">
        <v>731.76547251503359</v>
      </c>
    </row>
    <row r="101" spans="1:2" x14ac:dyDescent="0.25">
      <c r="A101" s="37" t="s">
        <v>206</v>
      </c>
      <c r="B101" s="40">
        <v>776.01599999999996</v>
      </c>
    </row>
    <row r="102" spans="1:2" x14ac:dyDescent="0.25">
      <c r="A102" s="37" t="s">
        <v>207</v>
      </c>
      <c r="B102" s="40">
        <v>716.85147205070746</v>
      </c>
    </row>
    <row r="103" spans="1:2" x14ac:dyDescent="0.25">
      <c r="A103" s="37" t="s">
        <v>208</v>
      </c>
      <c r="B103" s="40">
        <v>740.08011431085004</v>
      </c>
    </row>
    <row r="104" spans="1:2" x14ac:dyDescent="0.25">
      <c r="A104" s="37" t="s">
        <v>209</v>
      </c>
      <c r="B104" s="40">
        <v>657.8512672783952</v>
      </c>
    </row>
    <row r="105" spans="1:2" x14ac:dyDescent="0.25">
      <c r="A105" s="37" t="s">
        <v>210</v>
      </c>
      <c r="B105" s="40">
        <v>701.66486540482106</v>
      </c>
    </row>
    <row r="106" spans="1:2" x14ac:dyDescent="0.25">
      <c r="A106" s="37" t="s">
        <v>211</v>
      </c>
      <c r="B106" s="40">
        <v>685.95212534402526</v>
      </c>
    </row>
    <row r="107" spans="1:2" x14ac:dyDescent="0.25">
      <c r="A107" s="37" t="s">
        <v>212</v>
      </c>
      <c r="B107" s="40">
        <v>666.15707845535724</v>
      </c>
    </row>
    <row r="108" spans="1:2" x14ac:dyDescent="0.25">
      <c r="A108" s="37" t="s">
        <v>213</v>
      </c>
      <c r="B108" s="40">
        <v>700.46421477264494</v>
      </c>
    </row>
    <row r="109" spans="1:2" x14ac:dyDescent="0.25">
      <c r="A109" s="37" t="s">
        <v>214</v>
      </c>
      <c r="B109" s="40">
        <v>713.06282728872486</v>
      </c>
    </row>
    <row r="110" spans="1:2" x14ac:dyDescent="0.25">
      <c r="A110" s="38" t="s">
        <v>308</v>
      </c>
      <c r="B110">
        <v>0</v>
      </c>
    </row>
    <row r="111" spans="1:2" x14ac:dyDescent="0.25">
      <c r="A111" s="39" t="s">
        <v>84</v>
      </c>
      <c r="B111">
        <v>0</v>
      </c>
    </row>
    <row r="112" spans="1:2" x14ac:dyDescent="0.25">
      <c r="A112" s="37" t="s">
        <v>215</v>
      </c>
      <c r="B112" s="40">
        <v>641.78329498989399</v>
      </c>
    </row>
    <row r="113" spans="1:2" x14ac:dyDescent="0.25">
      <c r="A113" s="37" t="s">
        <v>216</v>
      </c>
      <c r="B113" s="40">
        <v>717.49608789069634</v>
      </c>
    </row>
    <row r="114" spans="1:2" x14ac:dyDescent="0.25">
      <c r="A114" s="37" t="s">
        <v>217</v>
      </c>
      <c r="B114" s="40">
        <v>733.11122545131843</v>
      </c>
    </row>
    <row r="115" spans="1:2" x14ac:dyDescent="0.25">
      <c r="A115" s="37" t="s">
        <v>218</v>
      </c>
      <c r="B115" s="40">
        <v>723.24876688694985</v>
      </c>
    </row>
    <row r="116" spans="1:2" x14ac:dyDescent="0.25">
      <c r="A116" s="37" t="s">
        <v>219</v>
      </c>
      <c r="B116" s="40">
        <v>724.41825995476131</v>
      </c>
    </row>
    <row r="117" spans="1:2" x14ac:dyDescent="0.25">
      <c r="A117" s="37" t="s">
        <v>220</v>
      </c>
      <c r="B117" s="40">
        <v>753.34004113733761</v>
      </c>
    </row>
    <row r="118" spans="1:2" x14ac:dyDescent="0.25">
      <c r="A118" s="37" t="s">
        <v>221</v>
      </c>
      <c r="B118" s="40">
        <v>662.32800000000009</v>
      </c>
    </row>
    <row r="119" spans="1:2" x14ac:dyDescent="0.25">
      <c r="A119" s="37" t="s">
        <v>222</v>
      </c>
      <c r="B119" s="40">
        <v>761.67443668760188</v>
      </c>
    </row>
    <row r="120" spans="1:2" x14ac:dyDescent="0.25">
      <c r="A120" s="37" t="s">
        <v>223</v>
      </c>
      <c r="B120" s="40">
        <v>675.92078891197082</v>
      </c>
    </row>
    <row r="121" spans="1:2" x14ac:dyDescent="0.25">
      <c r="A121" s="37" t="s">
        <v>224</v>
      </c>
      <c r="B121" s="40">
        <v>696.99257864469394</v>
      </c>
    </row>
    <row r="122" spans="1:2" x14ac:dyDescent="0.25">
      <c r="A122" s="37" t="s">
        <v>225</v>
      </c>
      <c r="B122" s="40">
        <v>658.86884198036034</v>
      </c>
    </row>
    <row r="123" spans="1:2" x14ac:dyDescent="0.25">
      <c r="A123" s="37" t="s">
        <v>226</v>
      </c>
      <c r="B123" s="40">
        <v>793.82539700106747</v>
      </c>
    </row>
    <row r="124" spans="1:2" x14ac:dyDescent="0.25">
      <c r="A124" s="37" t="s">
        <v>227</v>
      </c>
      <c r="B124" s="40">
        <v>604.30169363928132</v>
      </c>
    </row>
    <row r="125" spans="1:2" x14ac:dyDescent="0.25">
      <c r="A125" s="37" t="s">
        <v>228</v>
      </c>
      <c r="B125" s="40">
        <v>611.10737067822299</v>
      </c>
    </row>
    <row r="126" spans="1:2" x14ac:dyDescent="0.25">
      <c r="A126" s="38" t="s">
        <v>229</v>
      </c>
      <c r="B126">
        <v>0</v>
      </c>
    </row>
    <row r="127" spans="1:2" x14ac:dyDescent="0.25">
      <c r="A127" s="39" t="s">
        <v>84</v>
      </c>
      <c r="B127">
        <v>0</v>
      </c>
    </row>
    <row r="128" spans="1:2" x14ac:dyDescent="0.25">
      <c r="A128" s="37" t="s">
        <v>230</v>
      </c>
      <c r="B128" s="40">
        <v>637.32000000000005</v>
      </c>
    </row>
    <row r="129" spans="1:2" x14ac:dyDescent="0.25">
      <c r="A129" s="37" t="s">
        <v>231</v>
      </c>
      <c r="B129" s="40">
        <v>616.38026999037288</v>
      </c>
    </row>
    <row r="130" spans="1:2" x14ac:dyDescent="0.25">
      <c r="A130" s="37" t="s">
        <v>232</v>
      </c>
      <c r="B130" s="40">
        <v>522.91865460744157</v>
      </c>
    </row>
    <row r="131" spans="1:2" x14ac:dyDescent="0.25">
      <c r="A131" s="38" t="s">
        <v>51</v>
      </c>
      <c r="B131">
        <v>0</v>
      </c>
    </row>
    <row r="132" spans="1:2" x14ac:dyDescent="0.25">
      <c r="A132" s="39" t="s">
        <v>84</v>
      </c>
      <c r="B132">
        <v>0</v>
      </c>
    </row>
    <row r="133" spans="1:2" x14ac:dyDescent="0.25">
      <c r="A133" s="37" t="s">
        <v>233</v>
      </c>
      <c r="B133" s="40">
        <v>171.96394555185927</v>
      </c>
    </row>
    <row r="134" spans="1:2" x14ac:dyDescent="0.25">
      <c r="A134" s="37" t="s">
        <v>234</v>
      </c>
      <c r="B134" s="40">
        <v>633.93836593192248</v>
      </c>
    </row>
    <row r="135" spans="1:2" x14ac:dyDescent="0.25">
      <c r="A135" s="37" t="s">
        <v>235</v>
      </c>
      <c r="B135" s="40">
        <v>626.71199999999999</v>
      </c>
    </row>
    <row r="136" spans="1:2" x14ac:dyDescent="0.25">
      <c r="A136" s="37" t="s">
        <v>236</v>
      </c>
      <c r="B136" s="40">
        <v>597.68654154449757</v>
      </c>
    </row>
    <row r="137" spans="1:2" x14ac:dyDescent="0.25">
      <c r="A137" s="38" t="s">
        <v>52</v>
      </c>
      <c r="B137">
        <v>0</v>
      </c>
    </row>
    <row r="138" spans="1:2" x14ac:dyDescent="0.25">
      <c r="A138" s="39" t="s">
        <v>84</v>
      </c>
      <c r="B138">
        <v>0</v>
      </c>
    </row>
    <row r="139" spans="1:2" x14ac:dyDescent="0.25">
      <c r="A139" s="37" t="s">
        <v>237</v>
      </c>
      <c r="B139" s="40">
        <v>704.689173988687</v>
      </c>
    </row>
    <row r="140" spans="1:2" x14ac:dyDescent="0.25">
      <c r="A140" s="37" t="s">
        <v>238</v>
      </c>
      <c r="B140" s="40">
        <v>732.14116103791503</v>
      </c>
    </row>
    <row r="141" spans="1:2" x14ac:dyDescent="0.25">
      <c r="A141" s="37" t="s">
        <v>239</v>
      </c>
      <c r="B141" s="40">
        <v>750.98324894274685</v>
      </c>
    </row>
    <row r="142" spans="1:2" x14ac:dyDescent="0.25">
      <c r="A142" s="37" t="s">
        <v>240</v>
      </c>
      <c r="B142" s="40">
        <v>563.68799999999999</v>
      </c>
    </row>
    <row r="143" spans="1:2" x14ac:dyDescent="0.25">
      <c r="A143" s="37" t="s">
        <v>241</v>
      </c>
      <c r="B143" s="40">
        <v>652.55034413927478</v>
      </c>
    </row>
    <row r="144" spans="1:2" x14ac:dyDescent="0.25">
      <c r="A144" s="37" t="s">
        <v>242</v>
      </c>
      <c r="B144" s="40">
        <v>635.0950311811838</v>
      </c>
    </row>
    <row r="145" spans="1:2" x14ac:dyDescent="0.25">
      <c r="A145" s="37" t="s">
        <v>243</v>
      </c>
      <c r="B145" s="40">
        <v>734.64654544032362</v>
      </c>
    </row>
    <row r="146" spans="1:2" x14ac:dyDescent="0.25">
      <c r="A146" s="38" t="s">
        <v>53</v>
      </c>
      <c r="B146">
        <v>0</v>
      </c>
    </row>
    <row r="147" spans="1:2" x14ac:dyDescent="0.25">
      <c r="A147" s="39" t="s">
        <v>84</v>
      </c>
      <c r="B147">
        <v>0</v>
      </c>
    </row>
    <row r="148" spans="1:2" x14ac:dyDescent="0.25">
      <c r="A148" s="37" t="s">
        <v>244</v>
      </c>
      <c r="B148" s="40">
        <v>662.03478682127195</v>
      </c>
    </row>
    <row r="149" spans="1:2" x14ac:dyDescent="0.25">
      <c r="A149" s="37" t="s">
        <v>245</v>
      </c>
      <c r="B149" s="40">
        <v>668.03983225468414</v>
      </c>
    </row>
    <row r="150" spans="1:2" x14ac:dyDescent="0.25">
      <c r="A150" s="37" t="s">
        <v>246</v>
      </c>
      <c r="B150" s="40">
        <v>649.19787162635976</v>
      </c>
    </row>
    <row r="151" spans="1:2" x14ac:dyDescent="0.25">
      <c r="A151" s="37" t="s">
        <v>247</v>
      </c>
      <c r="B151" s="40">
        <v>740.85504408726069</v>
      </c>
    </row>
    <row r="152" spans="1:2" x14ac:dyDescent="0.25">
      <c r="A152" s="37" t="s">
        <v>248</v>
      </c>
      <c r="B152" s="40">
        <v>768.28349380574366</v>
      </c>
    </row>
    <row r="153" spans="1:2" x14ac:dyDescent="0.25">
      <c r="A153" s="37" t="s">
        <v>249</v>
      </c>
      <c r="B153" s="40">
        <v>558.31047527358032</v>
      </c>
    </row>
    <row r="154" spans="1:2" x14ac:dyDescent="0.25">
      <c r="A154" s="37" t="s">
        <v>250</v>
      </c>
      <c r="B154" s="40">
        <v>650.02430184258196</v>
      </c>
    </row>
    <row r="155" spans="1:2" x14ac:dyDescent="0.25">
      <c r="A155" s="38" t="s">
        <v>307</v>
      </c>
      <c r="B155">
        <v>0</v>
      </c>
    </row>
    <row r="156" spans="1:2" x14ac:dyDescent="0.25">
      <c r="A156" s="39" t="s">
        <v>84</v>
      </c>
      <c r="B156">
        <v>0</v>
      </c>
    </row>
    <row r="157" spans="1:2" x14ac:dyDescent="0.25">
      <c r="A157" s="37" t="s">
        <v>251</v>
      </c>
      <c r="B157" s="40">
        <v>705.08678009613595</v>
      </c>
    </row>
    <row r="158" spans="1:2" x14ac:dyDescent="0.25">
      <c r="A158" s="37" t="s">
        <v>252</v>
      </c>
      <c r="B158" s="40">
        <v>762.86236147110856</v>
      </c>
    </row>
    <row r="159" spans="1:2" x14ac:dyDescent="0.25">
      <c r="A159" s="37" t="s">
        <v>253</v>
      </c>
      <c r="B159" s="40">
        <v>703.34135914528758</v>
      </c>
    </row>
    <row r="160" spans="1:2" x14ac:dyDescent="0.25">
      <c r="A160" s="37" t="s">
        <v>254</v>
      </c>
      <c r="B160" s="40">
        <v>98.760394610823752</v>
      </c>
    </row>
    <row r="161" spans="1:2" x14ac:dyDescent="0.25">
      <c r="A161" s="37" t="s">
        <v>255</v>
      </c>
      <c r="B161" s="40">
        <v>750.68057870430721</v>
      </c>
    </row>
    <row r="162" spans="1:2" x14ac:dyDescent="0.25">
      <c r="A162" s="38" t="s">
        <v>54</v>
      </c>
      <c r="B162">
        <v>0</v>
      </c>
    </row>
    <row r="163" spans="1:2" x14ac:dyDescent="0.25">
      <c r="A163" s="39" t="s">
        <v>84</v>
      </c>
      <c r="B163">
        <v>0</v>
      </c>
    </row>
    <row r="164" spans="1:2" x14ac:dyDescent="0.25">
      <c r="A164" s="37" t="s">
        <v>256</v>
      </c>
      <c r="B164" s="40">
        <v>649.18451808249563</v>
      </c>
    </row>
    <row r="165" spans="1:2" x14ac:dyDescent="0.25">
      <c r="A165" s="37" t="s">
        <v>257</v>
      </c>
      <c r="B165" s="40">
        <v>655.94214268425856</v>
      </c>
    </row>
    <row r="166" spans="1:2" x14ac:dyDescent="0.25">
      <c r="A166" s="37" t="s">
        <v>258</v>
      </c>
      <c r="B166" s="40">
        <v>594.9236122303372</v>
      </c>
    </row>
    <row r="167" spans="1:2" x14ac:dyDescent="0.25">
      <c r="A167" s="37" t="s">
        <v>259</v>
      </c>
      <c r="B167" s="40">
        <v>659.39098575827234</v>
      </c>
    </row>
    <row r="168" spans="1:2" x14ac:dyDescent="0.25">
      <c r="A168" s="37" t="s">
        <v>260</v>
      </c>
      <c r="B168" s="40">
        <v>605.03935448329651</v>
      </c>
    </row>
    <row r="169" spans="1:2" x14ac:dyDescent="0.25">
      <c r="A169" s="37" t="s">
        <v>261</v>
      </c>
      <c r="B169" s="40">
        <v>695.63045935118771</v>
      </c>
    </row>
    <row r="170" spans="1:2" x14ac:dyDescent="0.25">
      <c r="A170" s="37" t="s">
        <v>262</v>
      </c>
      <c r="B170" s="40">
        <v>622.82581181763976</v>
      </c>
    </row>
    <row r="171" spans="1:2" x14ac:dyDescent="0.25">
      <c r="A171" s="37" t="s">
        <v>263</v>
      </c>
      <c r="B171" s="40">
        <v>697.09859679379667</v>
      </c>
    </row>
    <row r="172" spans="1:2" x14ac:dyDescent="0.25">
      <c r="A172" s="37" t="s">
        <v>264</v>
      </c>
      <c r="B172" s="40">
        <v>758.35199999999998</v>
      </c>
    </row>
    <row r="173" spans="1:2" x14ac:dyDescent="0.25">
      <c r="A173" s="37" t="s">
        <v>265</v>
      </c>
      <c r="B173" s="40">
        <v>674.52970778642305</v>
      </c>
    </row>
    <row r="174" spans="1:2" x14ac:dyDescent="0.25">
      <c r="A174" s="37" t="s">
        <v>266</v>
      </c>
      <c r="B174" s="40">
        <v>660.15665247041181</v>
      </c>
    </row>
    <row r="175" spans="1:2" x14ac:dyDescent="0.25">
      <c r="A175" s="38" t="s">
        <v>55</v>
      </c>
      <c r="B175">
        <v>0</v>
      </c>
    </row>
    <row r="176" spans="1:2" x14ac:dyDescent="0.25">
      <c r="A176" s="39" t="s">
        <v>84</v>
      </c>
      <c r="B176">
        <v>0</v>
      </c>
    </row>
    <row r="177" spans="1:2" x14ac:dyDescent="0.25">
      <c r="A177" s="37" t="s">
        <v>267</v>
      </c>
      <c r="B177" s="40">
        <v>598.15199999999993</v>
      </c>
    </row>
    <row r="178" spans="1:2" x14ac:dyDescent="0.25">
      <c r="A178" s="37" t="s">
        <v>268</v>
      </c>
      <c r="B178" s="40">
        <v>713.02213599709182</v>
      </c>
    </row>
    <row r="179" spans="1:2" x14ac:dyDescent="0.25">
      <c r="A179" s="38" t="s">
        <v>56</v>
      </c>
      <c r="B179">
        <v>0</v>
      </c>
    </row>
    <row r="180" spans="1:2" x14ac:dyDescent="0.25">
      <c r="A180" s="39" t="s">
        <v>84</v>
      </c>
      <c r="B180">
        <v>0</v>
      </c>
    </row>
    <row r="181" spans="1:2" x14ac:dyDescent="0.25">
      <c r="A181" s="37" t="s">
        <v>269</v>
      </c>
      <c r="B181" s="40">
        <v>815.28121173428201</v>
      </c>
    </row>
    <row r="182" spans="1:2" x14ac:dyDescent="0.25">
      <c r="A182" s="37" t="s">
        <v>270</v>
      </c>
      <c r="B182" s="40">
        <v>692.80767586495574</v>
      </c>
    </row>
    <row r="183" spans="1:2" x14ac:dyDescent="0.25">
      <c r="A183" s="37" t="s">
        <v>271</v>
      </c>
      <c r="B183" s="40">
        <v>697.93578383213969</v>
      </c>
    </row>
    <row r="184" spans="1:2" x14ac:dyDescent="0.25">
      <c r="A184" s="37" t="s">
        <v>272</v>
      </c>
      <c r="B184" s="40">
        <v>843.62327178594114</v>
      </c>
    </row>
    <row r="185" spans="1:2" x14ac:dyDescent="0.25">
      <c r="A185" s="37" t="s">
        <v>273</v>
      </c>
      <c r="B185" s="40">
        <v>778.92529148993538</v>
      </c>
    </row>
    <row r="186" spans="1:2" x14ac:dyDescent="0.25">
      <c r="A186" s="37" t="s">
        <v>274</v>
      </c>
      <c r="B186" s="40">
        <v>624.51599999999996</v>
      </c>
    </row>
    <row r="187" spans="1:2" x14ac:dyDescent="0.25">
      <c r="A187" s="37" t="s">
        <v>275</v>
      </c>
      <c r="B187" s="40">
        <v>686.69761167705462</v>
      </c>
    </row>
    <row r="188" spans="1:2" x14ac:dyDescent="0.25">
      <c r="A188" s="37" t="s">
        <v>276</v>
      </c>
      <c r="B188" s="40">
        <v>719.32918788238862</v>
      </c>
    </row>
    <row r="189" spans="1:2" ht="30" x14ac:dyDescent="0.25">
      <c r="A189" s="37" t="s">
        <v>277</v>
      </c>
      <c r="B189" s="40">
        <v>883.58078973061811</v>
      </c>
    </row>
    <row r="190" spans="1:2" x14ac:dyDescent="0.25">
      <c r="A190" s="37" t="s">
        <v>278</v>
      </c>
      <c r="B190" s="40">
        <v>783.23699041264854</v>
      </c>
    </row>
    <row r="191" spans="1:2" x14ac:dyDescent="0.25">
      <c r="A191" s="37" t="s">
        <v>279</v>
      </c>
      <c r="B191" s="40">
        <v>601.07700309949632</v>
      </c>
    </row>
    <row r="192" spans="1:2" x14ac:dyDescent="0.25">
      <c r="A192" s="37" t="s">
        <v>280</v>
      </c>
      <c r="B192" s="40">
        <v>550.50214957856213</v>
      </c>
    </row>
    <row r="193" spans="1:2" x14ac:dyDescent="0.25">
      <c r="A193" s="37" t="s">
        <v>281</v>
      </c>
      <c r="B193" s="40">
        <v>790.64755419129449</v>
      </c>
    </row>
    <row r="194" spans="1:2" x14ac:dyDescent="0.25">
      <c r="A194" s="37" t="s">
        <v>282</v>
      </c>
      <c r="B194" s="40">
        <v>760.12910151588858</v>
      </c>
    </row>
    <row r="195" spans="1:2" x14ac:dyDescent="0.25">
      <c r="A195" s="38" t="s">
        <v>57</v>
      </c>
      <c r="B195">
        <v>0</v>
      </c>
    </row>
    <row r="196" spans="1:2" x14ac:dyDescent="0.25">
      <c r="A196" s="39" t="s">
        <v>84</v>
      </c>
      <c r="B196">
        <v>0</v>
      </c>
    </row>
    <row r="197" spans="1:2" x14ac:dyDescent="0.25">
      <c r="A197" s="37" t="s">
        <v>283</v>
      </c>
      <c r="B197" s="40">
        <v>739.88360314949512</v>
      </c>
    </row>
    <row r="198" spans="1:2" x14ac:dyDescent="0.25">
      <c r="A198" s="37" t="s">
        <v>284</v>
      </c>
      <c r="B198" s="40">
        <v>700.53874779854482</v>
      </c>
    </row>
    <row r="199" spans="1:2" x14ac:dyDescent="0.25">
      <c r="A199" s="37" t="s">
        <v>285</v>
      </c>
      <c r="B199" s="40">
        <v>888.21599999999989</v>
      </c>
    </row>
    <row r="200" spans="1:2" x14ac:dyDescent="0.25">
      <c r="A200" s="37" t="s">
        <v>286</v>
      </c>
      <c r="B200" s="40">
        <v>690.23942706883224</v>
      </c>
    </row>
    <row r="201" spans="1:2" x14ac:dyDescent="0.25">
      <c r="A201" s="38" t="s">
        <v>58</v>
      </c>
      <c r="B201">
        <v>0</v>
      </c>
    </row>
    <row r="202" spans="1:2" x14ac:dyDescent="0.25">
      <c r="A202" s="39" t="s">
        <v>84</v>
      </c>
      <c r="B202">
        <v>0</v>
      </c>
    </row>
    <row r="203" spans="1:2" x14ac:dyDescent="0.25">
      <c r="A203" s="37" t="s">
        <v>287</v>
      </c>
      <c r="B203" s="40">
        <v>703.25000020463062</v>
      </c>
    </row>
    <row r="204" spans="1:2" x14ac:dyDescent="0.25">
      <c r="A204" s="37" t="s">
        <v>288</v>
      </c>
      <c r="B204" s="40">
        <v>633.32767067323482</v>
      </c>
    </row>
    <row r="205" spans="1:2" x14ac:dyDescent="0.25">
      <c r="A205" s="37" t="s">
        <v>289</v>
      </c>
      <c r="B205" s="40">
        <v>538.60799999999995</v>
      </c>
    </row>
    <row r="206" spans="1:2" x14ac:dyDescent="0.25">
      <c r="A206" s="37" t="s">
        <v>290</v>
      </c>
      <c r="B206" s="40">
        <v>683.39206518912818</v>
      </c>
    </row>
    <row r="207" spans="1:2" ht="30" x14ac:dyDescent="0.25">
      <c r="A207" s="37" t="s">
        <v>291</v>
      </c>
      <c r="B207" s="40">
        <v>705.95273704848967</v>
      </c>
    </row>
    <row r="208" spans="1:2" x14ac:dyDescent="0.25">
      <c r="A208" s="37" t="s">
        <v>292</v>
      </c>
      <c r="B208" s="40">
        <v>586.39321739882746</v>
      </c>
    </row>
    <row r="209" spans="1:2" x14ac:dyDescent="0.25">
      <c r="A209" s="37" t="s">
        <v>293</v>
      </c>
      <c r="B209" s="40">
        <v>735.32855591452278</v>
      </c>
    </row>
    <row r="210" spans="1:2" x14ac:dyDescent="0.25">
      <c r="A210" s="38" t="s">
        <v>59</v>
      </c>
      <c r="B210">
        <v>0</v>
      </c>
    </row>
    <row r="211" spans="1:2" x14ac:dyDescent="0.25">
      <c r="A211" s="39" t="s">
        <v>84</v>
      </c>
      <c r="B211">
        <v>0</v>
      </c>
    </row>
    <row r="212" spans="1:2" x14ac:dyDescent="0.25">
      <c r="A212" s="37" t="s">
        <v>294</v>
      </c>
      <c r="B212" s="40">
        <v>703.26160496239959</v>
      </c>
    </row>
    <row r="213" spans="1:2" ht="30" x14ac:dyDescent="0.25">
      <c r="A213" s="37" t="s">
        <v>295</v>
      </c>
      <c r="B213" s="40">
        <v>738.07345093758181</v>
      </c>
    </row>
    <row r="214" spans="1:2" x14ac:dyDescent="0.25">
      <c r="A214" s="37" t="s">
        <v>296</v>
      </c>
      <c r="B214" s="40">
        <v>702.64535816602177</v>
      </c>
    </row>
    <row r="215" spans="1:2" x14ac:dyDescent="0.25">
      <c r="A215" s="37" t="s">
        <v>297</v>
      </c>
      <c r="B215" s="40">
        <v>721.67895010791528</v>
      </c>
    </row>
    <row r="216" spans="1:2" x14ac:dyDescent="0.25">
      <c r="A216" s="37" t="s">
        <v>298</v>
      </c>
      <c r="B216" s="40">
        <v>606.28658342386984</v>
      </c>
    </row>
    <row r="217" spans="1:2" x14ac:dyDescent="0.25">
      <c r="A217" s="37" t="s">
        <v>299</v>
      </c>
      <c r="B217" s="40">
        <v>878.13680137815891</v>
      </c>
    </row>
    <row r="218" spans="1:2" x14ac:dyDescent="0.25">
      <c r="A218" s="37" t="s">
        <v>300</v>
      </c>
      <c r="B218" s="40">
        <v>638.00223611026422</v>
      </c>
    </row>
    <row r="219" spans="1:2" x14ac:dyDescent="0.25">
      <c r="A219" s="37" t="s">
        <v>301</v>
      </c>
      <c r="B219" s="40">
        <v>696.54803750543556</v>
      </c>
    </row>
    <row r="220" spans="1:2" x14ac:dyDescent="0.25">
      <c r="A220" s="38" t="s">
        <v>60</v>
      </c>
      <c r="B220">
        <v>0</v>
      </c>
    </row>
    <row r="221" spans="1:2" x14ac:dyDescent="0.25">
      <c r="A221" s="39" t="s">
        <v>84</v>
      </c>
      <c r="B221">
        <v>0</v>
      </c>
    </row>
    <row r="222" spans="1:2" x14ac:dyDescent="0.25">
      <c r="A222" s="37" t="s">
        <v>302</v>
      </c>
      <c r="B222" s="40">
        <v>580.8616146058755</v>
      </c>
    </row>
    <row r="223" spans="1:2" x14ac:dyDescent="0.25">
      <c r="A223" s="38" t="s">
        <v>61</v>
      </c>
      <c r="B223">
        <v>0</v>
      </c>
    </row>
    <row r="224" spans="1:2" x14ac:dyDescent="0.25">
      <c r="A224" s="39" t="s">
        <v>84</v>
      </c>
      <c r="B224">
        <v>0</v>
      </c>
    </row>
    <row r="225" spans="1:2" ht="30" x14ac:dyDescent="0.25">
      <c r="A225" s="37" t="s">
        <v>303</v>
      </c>
      <c r="B225" s="40">
        <v>592.37290711492801</v>
      </c>
    </row>
    <row r="226" spans="1:2" x14ac:dyDescent="0.25">
      <c r="A226" s="37" t="s">
        <v>304</v>
      </c>
      <c r="B226" s="40">
        <v>632.11717763232116</v>
      </c>
    </row>
    <row r="227" spans="1:2" x14ac:dyDescent="0.25">
      <c r="A227" s="37" t="s">
        <v>305</v>
      </c>
      <c r="B227" s="40">
        <v>695.27257159461578</v>
      </c>
    </row>
    <row r="228" spans="1:2" x14ac:dyDescent="0.25">
      <c r="A228" s="37" t="s">
        <v>306</v>
      </c>
      <c r="B228" s="40">
        <v>649.42285158884738</v>
      </c>
    </row>
  </sheetData>
  <conditionalFormatting sqref="A5 A7:A228">
    <cfRule type="cellIs" dxfId="331" priority="325" operator="equal">
      <formula>0</formula>
    </cfRule>
  </conditionalFormatting>
  <conditionalFormatting sqref="A4:A5">
    <cfRule type="expression" dxfId="330" priority="326">
      <formula>AND(XFB4=869)</formula>
    </cfRule>
  </conditionalFormatting>
  <conditionalFormatting sqref="A6">
    <cfRule type="cellIs" dxfId="329" priority="336" operator="equal">
      <formula>0</formula>
    </cfRule>
  </conditionalFormatting>
  <conditionalFormatting sqref="A6:A12">
    <cfRule type="expression" dxfId="328" priority="335">
      <formula>AND(XFB5=869)</formula>
    </cfRule>
  </conditionalFormatting>
  <conditionalFormatting sqref="A4">
    <cfRule type="cellIs" dxfId="327" priority="330" operator="equal">
      <formula>0</formula>
    </cfRule>
  </conditionalFormatting>
  <conditionalFormatting sqref="A4">
    <cfRule type="expression" dxfId="326" priority="329">
      <formula>AND(XFB4=869)</formula>
    </cfRule>
  </conditionalFormatting>
  <conditionalFormatting sqref="A4">
    <cfRule type="cellIs" dxfId="325" priority="328" operator="equal">
      <formula>0</formula>
    </cfRule>
  </conditionalFormatting>
  <conditionalFormatting sqref="A4">
    <cfRule type="expression" dxfId="324" priority="327">
      <formula>AND(XFB4=869)</formula>
    </cfRule>
  </conditionalFormatting>
  <conditionalFormatting sqref="A4">
    <cfRule type="cellIs" dxfId="323" priority="337" operator="equal">
      <formula>0</formula>
    </cfRule>
  </conditionalFormatting>
  <conditionalFormatting sqref="A13:A19">
    <cfRule type="expression" dxfId="322" priority="340">
      <formula>AND(XFB11=869)</formula>
    </cfRule>
  </conditionalFormatting>
  <conditionalFormatting sqref="A12">
    <cfRule type="expression" dxfId="321" priority="324">
      <formula>AND(XFB12=869)</formula>
    </cfRule>
  </conditionalFormatting>
  <conditionalFormatting sqref="A20:A39">
    <cfRule type="expression" dxfId="320" priority="344">
      <formula>AND(XFB17=869)</formula>
    </cfRule>
  </conditionalFormatting>
  <conditionalFormatting sqref="A19">
    <cfRule type="expression" dxfId="319" priority="323">
      <formula>AND(XFB18=869)</formula>
    </cfRule>
  </conditionalFormatting>
  <conditionalFormatting sqref="A19">
    <cfRule type="expression" dxfId="318" priority="322">
      <formula>AND(XFB19=869)</formula>
    </cfRule>
  </conditionalFormatting>
  <conditionalFormatting sqref="A40:A59">
    <cfRule type="expression" dxfId="317" priority="348">
      <formula>AND(XFB36=869)</formula>
    </cfRule>
  </conditionalFormatting>
  <conditionalFormatting sqref="A39">
    <cfRule type="expression" dxfId="316" priority="321">
      <formula>AND(XFB37=869)</formula>
    </cfRule>
  </conditionalFormatting>
  <conditionalFormatting sqref="A39">
    <cfRule type="expression" dxfId="315" priority="320">
      <formula>AND(XFB38=869)</formula>
    </cfRule>
  </conditionalFormatting>
  <conditionalFormatting sqref="A39">
    <cfRule type="expression" dxfId="314" priority="319">
      <formula>AND(XFB39=869)</formula>
    </cfRule>
  </conditionalFormatting>
  <conditionalFormatting sqref="A60:A66">
    <cfRule type="expression" dxfId="313" priority="352">
      <formula>AND(XFB55=869)</formula>
    </cfRule>
  </conditionalFormatting>
  <conditionalFormatting sqref="A59">
    <cfRule type="expression" dxfId="312" priority="318">
      <formula>AND(XFB56=869)</formula>
    </cfRule>
  </conditionalFormatting>
  <conditionalFormatting sqref="A59">
    <cfRule type="expression" dxfId="311" priority="317">
      <formula>AND(XFB57=869)</formula>
    </cfRule>
  </conditionalFormatting>
  <conditionalFormatting sqref="A59">
    <cfRule type="expression" dxfId="310" priority="316">
      <formula>AND(XFB58=869)</formula>
    </cfRule>
  </conditionalFormatting>
  <conditionalFormatting sqref="A59">
    <cfRule type="expression" dxfId="309" priority="315">
      <formula>AND(XFB59=869)</formula>
    </cfRule>
  </conditionalFormatting>
  <conditionalFormatting sqref="A67:A74">
    <cfRule type="expression" dxfId="308" priority="356">
      <formula>AND(XFB61=869)</formula>
    </cfRule>
  </conditionalFormatting>
  <conditionalFormatting sqref="A66">
    <cfRule type="expression" dxfId="307" priority="314">
      <formula>AND(XFB62=869)</formula>
    </cfRule>
  </conditionalFormatting>
  <conditionalFormatting sqref="A66">
    <cfRule type="expression" dxfId="306" priority="313">
      <formula>AND(XFB63=869)</formula>
    </cfRule>
  </conditionalFormatting>
  <conditionalFormatting sqref="A66">
    <cfRule type="expression" dxfId="305" priority="312">
      <formula>AND(XFB64=869)</formula>
    </cfRule>
  </conditionalFormatting>
  <conditionalFormatting sqref="A66">
    <cfRule type="expression" dxfId="304" priority="311">
      <formula>AND(XFB65=869)</formula>
    </cfRule>
  </conditionalFormatting>
  <conditionalFormatting sqref="A66">
    <cfRule type="expression" dxfId="303" priority="310">
      <formula>AND(XFB66=869)</formula>
    </cfRule>
  </conditionalFormatting>
  <conditionalFormatting sqref="A75:A79">
    <cfRule type="expression" dxfId="302" priority="360">
      <formula>AND(XFB68=869)</formula>
    </cfRule>
  </conditionalFormatting>
  <conditionalFormatting sqref="A74">
    <cfRule type="expression" dxfId="301" priority="309">
      <formula>AND(XFB69=869)</formula>
    </cfRule>
  </conditionalFormatting>
  <conditionalFormatting sqref="A74">
    <cfRule type="expression" dxfId="300" priority="308">
      <formula>AND(XFB70=869)</formula>
    </cfRule>
  </conditionalFormatting>
  <conditionalFormatting sqref="A74">
    <cfRule type="expression" dxfId="299" priority="307">
      <formula>AND(XFB71=869)</formula>
    </cfRule>
  </conditionalFormatting>
  <conditionalFormatting sqref="A74">
    <cfRule type="expression" dxfId="298" priority="306">
      <formula>AND(XFB72=869)</formula>
    </cfRule>
  </conditionalFormatting>
  <conditionalFormatting sqref="A74">
    <cfRule type="expression" dxfId="297" priority="305">
      <formula>AND(XFB73=869)</formula>
    </cfRule>
  </conditionalFormatting>
  <conditionalFormatting sqref="A74">
    <cfRule type="expression" dxfId="296" priority="304">
      <formula>AND(XFB74=869)</formula>
    </cfRule>
  </conditionalFormatting>
  <conditionalFormatting sqref="A80:A92">
    <cfRule type="expression" dxfId="295" priority="364">
      <formula>AND(XFB72=869)</formula>
    </cfRule>
  </conditionalFormatting>
  <conditionalFormatting sqref="A79">
    <cfRule type="expression" dxfId="294" priority="303">
      <formula>AND(XFB73=869)</formula>
    </cfRule>
  </conditionalFormatting>
  <conditionalFormatting sqref="A79">
    <cfRule type="expression" dxfId="293" priority="302">
      <formula>AND(XFB74=869)</formula>
    </cfRule>
  </conditionalFormatting>
  <conditionalFormatting sqref="A79">
    <cfRule type="expression" dxfId="292" priority="301">
      <formula>AND(XFB75=869)</formula>
    </cfRule>
  </conditionalFormatting>
  <conditionalFormatting sqref="A79">
    <cfRule type="expression" dxfId="291" priority="300">
      <formula>AND(XFB76=869)</formula>
    </cfRule>
  </conditionalFormatting>
  <conditionalFormatting sqref="A79">
    <cfRule type="expression" dxfId="290" priority="299">
      <formula>AND(XFB77=869)</formula>
    </cfRule>
  </conditionalFormatting>
  <conditionalFormatting sqref="A79">
    <cfRule type="expression" dxfId="289" priority="298">
      <formula>AND(XFB78=869)</formula>
    </cfRule>
  </conditionalFormatting>
  <conditionalFormatting sqref="A79">
    <cfRule type="expression" dxfId="288" priority="297">
      <formula>AND(XFB79=869)</formula>
    </cfRule>
  </conditionalFormatting>
  <conditionalFormatting sqref="A93:A99">
    <cfRule type="expression" dxfId="287" priority="368">
      <formula>AND(XFB84=869)</formula>
    </cfRule>
  </conditionalFormatting>
  <conditionalFormatting sqref="A92">
    <cfRule type="expression" dxfId="286" priority="296">
      <formula>AND(XFB85=869)</formula>
    </cfRule>
  </conditionalFormatting>
  <conditionalFormatting sqref="A92">
    <cfRule type="expression" dxfId="285" priority="295">
      <formula>AND(XFB86=869)</formula>
    </cfRule>
  </conditionalFormatting>
  <conditionalFormatting sqref="A92">
    <cfRule type="expression" dxfId="284" priority="294">
      <formula>AND(XFB87=869)</formula>
    </cfRule>
  </conditionalFormatting>
  <conditionalFormatting sqref="A92">
    <cfRule type="expression" dxfId="283" priority="293">
      <formula>AND(XFB88=869)</formula>
    </cfRule>
  </conditionalFormatting>
  <conditionalFormatting sqref="A92">
    <cfRule type="expression" dxfId="282" priority="292">
      <formula>AND(XFB89=869)</formula>
    </cfRule>
  </conditionalFormatting>
  <conditionalFormatting sqref="A92">
    <cfRule type="expression" dxfId="281" priority="291">
      <formula>AND(XFB90=869)</formula>
    </cfRule>
  </conditionalFormatting>
  <conditionalFormatting sqref="A92">
    <cfRule type="expression" dxfId="280" priority="290">
      <formula>AND(XFB91=869)</formula>
    </cfRule>
  </conditionalFormatting>
  <conditionalFormatting sqref="A92">
    <cfRule type="expression" dxfId="279" priority="289">
      <formula>AND(XFB92=869)</formula>
    </cfRule>
  </conditionalFormatting>
  <conditionalFormatting sqref="A100:A111">
    <cfRule type="expression" dxfId="278" priority="372">
      <formula>AND(XFB90=869)</formula>
    </cfRule>
  </conditionalFormatting>
  <conditionalFormatting sqref="A99">
    <cfRule type="expression" dxfId="277" priority="288">
      <formula>AND(XFB91=869)</formula>
    </cfRule>
  </conditionalFormatting>
  <conditionalFormatting sqref="A99">
    <cfRule type="expression" dxfId="276" priority="287">
      <formula>AND(XFB92=869)</formula>
    </cfRule>
  </conditionalFormatting>
  <conditionalFormatting sqref="A99">
    <cfRule type="expression" dxfId="275" priority="286">
      <formula>AND(XFB93=869)</formula>
    </cfRule>
  </conditionalFormatting>
  <conditionalFormatting sqref="A99">
    <cfRule type="expression" dxfId="274" priority="285">
      <formula>AND(XFB94=869)</formula>
    </cfRule>
  </conditionalFormatting>
  <conditionalFormatting sqref="A99">
    <cfRule type="expression" dxfId="273" priority="284">
      <formula>AND(XFB95=869)</formula>
    </cfRule>
  </conditionalFormatting>
  <conditionalFormatting sqref="A99">
    <cfRule type="expression" dxfId="272" priority="283">
      <formula>AND(XFB96=869)</formula>
    </cfRule>
  </conditionalFormatting>
  <conditionalFormatting sqref="A99">
    <cfRule type="expression" dxfId="271" priority="282">
      <formula>AND(XFB97=869)</formula>
    </cfRule>
  </conditionalFormatting>
  <conditionalFormatting sqref="A99">
    <cfRule type="expression" dxfId="270" priority="281">
      <formula>AND(XFB98=869)</formula>
    </cfRule>
  </conditionalFormatting>
  <conditionalFormatting sqref="A99">
    <cfRule type="expression" dxfId="269" priority="280">
      <formula>AND(XFB99=869)</formula>
    </cfRule>
  </conditionalFormatting>
  <conditionalFormatting sqref="A112:A127">
    <cfRule type="expression" dxfId="268" priority="376">
      <formula>AND(XFB101=869)</formula>
    </cfRule>
  </conditionalFormatting>
  <conditionalFormatting sqref="A111">
    <cfRule type="expression" dxfId="267" priority="279">
      <formula>AND(XFB102=869)</formula>
    </cfRule>
  </conditionalFormatting>
  <conditionalFormatting sqref="A111">
    <cfRule type="expression" dxfId="266" priority="278">
      <formula>AND(XFB103=869)</formula>
    </cfRule>
  </conditionalFormatting>
  <conditionalFormatting sqref="A111">
    <cfRule type="expression" dxfId="265" priority="277">
      <formula>AND(XFB104=869)</formula>
    </cfRule>
  </conditionalFormatting>
  <conditionalFormatting sqref="A111">
    <cfRule type="expression" dxfId="264" priority="276">
      <formula>AND(XFB105=869)</formula>
    </cfRule>
  </conditionalFormatting>
  <conditionalFormatting sqref="A111">
    <cfRule type="expression" dxfId="263" priority="275">
      <formula>AND(XFB106=869)</formula>
    </cfRule>
  </conditionalFormatting>
  <conditionalFormatting sqref="A111">
    <cfRule type="expression" dxfId="262" priority="274">
      <formula>AND(XFB107=869)</formula>
    </cfRule>
  </conditionalFormatting>
  <conditionalFormatting sqref="A111">
    <cfRule type="expression" dxfId="261" priority="273">
      <formula>AND(XFB108=869)</formula>
    </cfRule>
  </conditionalFormatting>
  <conditionalFormatting sqref="A111">
    <cfRule type="expression" dxfId="260" priority="272">
      <formula>AND(XFB109=869)</formula>
    </cfRule>
  </conditionalFormatting>
  <conditionalFormatting sqref="A111">
    <cfRule type="expression" dxfId="259" priority="271">
      <formula>AND(XFB110=869)</formula>
    </cfRule>
  </conditionalFormatting>
  <conditionalFormatting sqref="A111">
    <cfRule type="expression" dxfId="258" priority="270">
      <formula>AND(XFB111=869)</formula>
    </cfRule>
  </conditionalFormatting>
  <conditionalFormatting sqref="A128:A132">
    <cfRule type="expression" dxfId="257" priority="380">
      <formula>AND(XFB116=869)</formula>
    </cfRule>
  </conditionalFormatting>
  <conditionalFormatting sqref="A127">
    <cfRule type="expression" dxfId="256" priority="269">
      <formula>AND(XFB117=869)</formula>
    </cfRule>
  </conditionalFormatting>
  <conditionalFormatting sqref="A127">
    <cfRule type="expression" dxfId="255" priority="268">
      <formula>AND(XFB118=869)</formula>
    </cfRule>
  </conditionalFormatting>
  <conditionalFormatting sqref="A127">
    <cfRule type="expression" dxfId="254" priority="267">
      <formula>AND(XFB119=869)</formula>
    </cfRule>
  </conditionalFormatting>
  <conditionalFormatting sqref="A127">
    <cfRule type="expression" dxfId="253" priority="266">
      <formula>AND(XFB120=869)</formula>
    </cfRule>
  </conditionalFormatting>
  <conditionalFormatting sqref="A127">
    <cfRule type="expression" dxfId="252" priority="265">
      <formula>AND(XFB121=869)</formula>
    </cfRule>
  </conditionalFormatting>
  <conditionalFormatting sqref="A127">
    <cfRule type="expression" dxfId="251" priority="264">
      <formula>AND(XFB122=869)</formula>
    </cfRule>
  </conditionalFormatting>
  <conditionalFormatting sqref="A127">
    <cfRule type="expression" dxfId="250" priority="263">
      <formula>AND(XFB123=869)</formula>
    </cfRule>
  </conditionalFormatting>
  <conditionalFormatting sqref="A127">
    <cfRule type="expression" dxfId="249" priority="262">
      <formula>AND(XFB124=869)</formula>
    </cfRule>
  </conditionalFormatting>
  <conditionalFormatting sqref="A127">
    <cfRule type="expression" dxfId="248" priority="261">
      <formula>AND(XFB125=869)</formula>
    </cfRule>
  </conditionalFormatting>
  <conditionalFormatting sqref="A127">
    <cfRule type="expression" dxfId="247" priority="260">
      <formula>AND(XFB126=869)</formula>
    </cfRule>
  </conditionalFormatting>
  <conditionalFormatting sqref="A127">
    <cfRule type="expression" dxfId="246" priority="259">
      <formula>AND(XFB127=869)</formula>
    </cfRule>
  </conditionalFormatting>
  <conditionalFormatting sqref="A133:A138">
    <cfRule type="expression" dxfId="245" priority="384">
      <formula>AND(XFB120=869)</formula>
    </cfRule>
  </conditionalFormatting>
  <conditionalFormatting sqref="A132">
    <cfRule type="expression" dxfId="244" priority="258">
      <formula>AND(XFB121=869)</formula>
    </cfRule>
  </conditionalFormatting>
  <conditionalFormatting sqref="A132">
    <cfRule type="expression" dxfId="243" priority="257">
      <formula>AND(XFB122=869)</formula>
    </cfRule>
  </conditionalFormatting>
  <conditionalFormatting sqref="A132">
    <cfRule type="expression" dxfId="242" priority="256">
      <formula>AND(XFB123=869)</formula>
    </cfRule>
  </conditionalFormatting>
  <conditionalFormatting sqref="A132">
    <cfRule type="expression" dxfId="241" priority="255">
      <formula>AND(XFB124=869)</formula>
    </cfRule>
  </conditionalFormatting>
  <conditionalFormatting sqref="A132">
    <cfRule type="expression" dxfId="240" priority="254">
      <formula>AND(XFB125=869)</formula>
    </cfRule>
  </conditionalFormatting>
  <conditionalFormatting sqref="A132">
    <cfRule type="expression" dxfId="239" priority="253">
      <formula>AND(XFB126=869)</formula>
    </cfRule>
  </conditionalFormatting>
  <conditionalFormatting sqref="A132">
    <cfRule type="expression" dxfId="238" priority="252">
      <formula>AND(XFB127=869)</formula>
    </cfRule>
  </conditionalFormatting>
  <conditionalFormatting sqref="A132">
    <cfRule type="expression" dxfId="237" priority="251">
      <formula>AND(XFB128=869)</formula>
    </cfRule>
  </conditionalFormatting>
  <conditionalFormatting sqref="A132">
    <cfRule type="expression" dxfId="236" priority="250">
      <formula>AND(XFB129=869)</formula>
    </cfRule>
  </conditionalFormatting>
  <conditionalFormatting sqref="A132">
    <cfRule type="expression" dxfId="235" priority="249">
      <formula>AND(XFB130=869)</formula>
    </cfRule>
  </conditionalFormatting>
  <conditionalFormatting sqref="A132">
    <cfRule type="expression" dxfId="234" priority="248">
      <formula>AND(XFB131=869)</formula>
    </cfRule>
  </conditionalFormatting>
  <conditionalFormatting sqref="A132">
    <cfRule type="expression" dxfId="233" priority="247">
      <formula>AND(XFB132=869)</formula>
    </cfRule>
  </conditionalFormatting>
  <conditionalFormatting sqref="A139:A147">
    <cfRule type="expression" dxfId="232" priority="388">
      <formula>AND(XFB125=869)</formula>
    </cfRule>
  </conditionalFormatting>
  <conditionalFormatting sqref="A138">
    <cfRule type="expression" dxfId="231" priority="246">
      <formula>AND(XFB126=869)</formula>
    </cfRule>
  </conditionalFormatting>
  <conditionalFormatting sqref="A138">
    <cfRule type="expression" dxfId="230" priority="245">
      <formula>AND(XFB127=869)</formula>
    </cfRule>
  </conditionalFormatting>
  <conditionalFormatting sqref="A138">
    <cfRule type="expression" dxfId="229" priority="244">
      <formula>AND(XFB128=869)</formula>
    </cfRule>
  </conditionalFormatting>
  <conditionalFormatting sqref="A138">
    <cfRule type="expression" dxfId="228" priority="243">
      <formula>AND(XFB129=869)</formula>
    </cfRule>
  </conditionalFormatting>
  <conditionalFormatting sqref="A138">
    <cfRule type="expression" dxfId="227" priority="242">
      <formula>AND(XFB130=869)</formula>
    </cfRule>
  </conditionalFormatting>
  <conditionalFormatting sqref="A138">
    <cfRule type="expression" dxfId="226" priority="241">
      <formula>AND(XFB131=869)</formula>
    </cfRule>
  </conditionalFormatting>
  <conditionalFormatting sqref="A138">
    <cfRule type="expression" dxfId="225" priority="240">
      <formula>AND(XFB132=869)</formula>
    </cfRule>
  </conditionalFormatting>
  <conditionalFormatting sqref="A138">
    <cfRule type="expression" dxfId="224" priority="239">
      <formula>AND(XFB133=869)</formula>
    </cfRule>
  </conditionalFormatting>
  <conditionalFormatting sqref="A138">
    <cfRule type="expression" dxfId="223" priority="238">
      <formula>AND(XFB134=869)</formula>
    </cfRule>
  </conditionalFormatting>
  <conditionalFormatting sqref="A138">
    <cfRule type="expression" dxfId="222" priority="237">
      <formula>AND(XFB135=869)</formula>
    </cfRule>
  </conditionalFormatting>
  <conditionalFormatting sqref="A138">
    <cfRule type="expression" dxfId="221" priority="236">
      <formula>AND(XFB136=869)</formula>
    </cfRule>
  </conditionalFormatting>
  <conditionalFormatting sqref="A138">
    <cfRule type="expression" dxfId="220" priority="235">
      <formula>AND(XFB137=869)</formula>
    </cfRule>
  </conditionalFormatting>
  <conditionalFormatting sqref="A138">
    <cfRule type="expression" dxfId="219" priority="234">
      <formula>AND(XFB138=869)</formula>
    </cfRule>
  </conditionalFormatting>
  <conditionalFormatting sqref="A148:A156">
    <cfRule type="expression" dxfId="218" priority="392">
      <formula>AND(XFB133=869)</formula>
    </cfRule>
  </conditionalFormatting>
  <conditionalFormatting sqref="A147">
    <cfRule type="expression" dxfId="217" priority="233">
      <formula>AND(XFB134=869)</formula>
    </cfRule>
  </conditionalFormatting>
  <conditionalFormatting sqref="A147">
    <cfRule type="expression" dxfId="216" priority="232">
      <formula>AND(XFB135=869)</formula>
    </cfRule>
  </conditionalFormatting>
  <conditionalFormatting sqref="A147">
    <cfRule type="expression" dxfId="215" priority="231">
      <formula>AND(XFB136=869)</formula>
    </cfRule>
  </conditionalFormatting>
  <conditionalFormatting sqref="A147">
    <cfRule type="expression" dxfId="214" priority="230">
      <formula>AND(XFB137=869)</formula>
    </cfRule>
  </conditionalFormatting>
  <conditionalFormatting sqref="A147">
    <cfRule type="expression" dxfId="213" priority="229">
      <formula>AND(XFB138=869)</formula>
    </cfRule>
  </conditionalFormatting>
  <conditionalFormatting sqref="A147">
    <cfRule type="expression" dxfId="212" priority="228">
      <formula>AND(XFB139=869)</formula>
    </cfRule>
  </conditionalFormatting>
  <conditionalFormatting sqref="A147">
    <cfRule type="expression" dxfId="211" priority="227">
      <formula>AND(XFB140=869)</formula>
    </cfRule>
  </conditionalFormatting>
  <conditionalFormatting sqref="A147">
    <cfRule type="expression" dxfId="210" priority="226">
      <formula>AND(XFB141=869)</formula>
    </cfRule>
  </conditionalFormatting>
  <conditionalFormatting sqref="A147">
    <cfRule type="expression" dxfId="209" priority="225">
      <formula>AND(XFB142=869)</formula>
    </cfRule>
  </conditionalFormatting>
  <conditionalFormatting sqref="A147">
    <cfRule type="expression" dxfId="208" priority="224">
      <formula>AND(XFB143=869)</formula>
    </cfRule>
  </conditionalFormatting>
  <conditionalFormatting sqref="A147">
    <cfRule type="expression" dxfId="207" priority="223">
      <formula>AND(XFB144=869)</formula>
    </cfRule>
  </conditionalFormatting>
  <conditionalFormatting sqref="A147">
    <cfRule type="expression" dxfId="206" priority="222">
      <formula>AND(XFB145=869)</formula>
    </cfRule>
  </conditionalFormatting>
  <conditionalFormatting sqref="A147">
    <cfRule type="expression" dxfId="205" priority="221">
      <formula>AND(XFB146=869)</formula>
    </cfRule>
  </conditionalFormatting>
  <conditionalFormatting sqref="A147">
    <cfRule type="expression" dxfId="204" priority="220">
      <formula>AND(XFB147=869)</formula>
    </cfRule>
  </conditionalFormatting>
  <conditionalFormatting sqref="A157:A163">
    <cfRule type="expression" dxfId="203" priority="396">
      <formula>AND(XFB141=869)</formula>
    </cfRule>
  </conditionalFormatting>
  <conditionalFormatting sqref="A156">
    <cfRule type="expression" dxfId="202" priority="219">
      <formula>AND(XFB142=869)</formula>
    </cfRule>
  </conditionalFormatting>
  <conditionalFormatting sqref="A156">
    <cfRule type="expression" dxfId="201" priority="218">
      <formula>AND(XFB143=869)</formula>
    </cfRule>
  </conditionalFormatting>
  <conditionalFormatting sqref="A156">
    <cfRule type="expression" dxfId="200" priority="217">
      <formula>AND(XFB144=869)</formula>
    </cfRule>
  </conditionalFormatting>
  <conditionalFormatting sqref="A156">
    <cfRule type="expression" dxfId="199" priority="216">
      <formula>AND(XFB145=869)</formula>
    </cfRule>
  </conditionalFormatting>
  <conditionalFormatting sqref="A156">
    <cfRule type="expression" dxfId="198" priority="215">
      <formula>AND(XFB146=869)</formula>
    </cfRule>
  </conditionalFormatting>
  <conditionalFormatting sqref="A156">
    <cfRule type="expression" dxfId="197" priority="214">
      <formula>AND(XFB147=869)</formula>
    </cfRule>
  </conditionalFormatting>
  <conditionalFormatting sqref="A156">
    <cfRule type="expression" dxfId="196" priority="213">
      <formula>AND(XFB148=869)</formula>
    </cfRule>
  </conditionalFormatting>
  <conditionalFormatting sqref="A156">
    <cfRule type="expression" dxfId="195" priority="212">
      <formula>AND(XFB149=869)</formula>
    </cfRule>
  </conditionalFormatting>
  <conditionalFormatting sqref="A156">
    <cfRule type="expression" dxfId="194" priority="211">
      <formula>AND(XFB150=869)</formula>
    </cfRule>
  </conditionalFormatting>
  <conditionalFormatting sqref="A156">
    <cfRule type="expression" dxfId="193" priority="210">
      <formula>AND(XFB151=869)</formula>
    </cfRule>
  </conditionalFormatting>
  <conditionalFormatting sqref="A156">
    <cfRule type="expression" dxfId="192" priority="209">
      <formula>AND(XFB152=869)</formula>
    </cfRule>
  </conditionalFormatting>
  <conditionalFormatting sqref="A156">
    <cfRule type="expression" dxfId="191" priority="208">
      <formula>AND(XFB153=869)</formula>
    </cfRule>
  </conditionalFormatting>
  <conditionalFormatting sqref="A156">
    <cfRule type="expression" dxfId="190" priority="207">
      <formula>AND(XFB154=869)</formula>
    </cfRule>
  </conditionalFormatting>
  <conditionalFormatting sqref="A156">
    <cfRule type="expression" dxfId="189" priority="206">
      <formula>AND(XFB155=869)</formula>
    </cfRule>
  </conditionalFormatting>
  <conditionalFormatting sqref="A156">
    <cfRule type="expression" dxfId="188" priority="205">
      <formula>AND(XFB156=869)</formula>
    </cfRule>
  </conditionalFormatting>
  <conditionalFormatting sqref="A164:A176">
    <cfRule type="expression" dxfId="187" priority="400">
      <formula>AND(XFB147=869)</formula>
    </cfRule>
  </conditionalFormatting>
  <conditionalFormatting sqref="A163">
    <cfRule type="expression" dxfId="186" priority="204">
      <formula>AND(XFB148=869)</formula>
    </cfRule>
  </conditionalFormatting>
  <conditionalFormatting sqref="A163">
    <cfRule type="expression" dxfId="185" priority="203">
      <formula>AND(XFB149=869)</formula>
    </cfRule>
  </conditionalFormatting>
  <conditionalFormatting sqref="A163">
    <cfRule type="expression" dxfId="184" priority="202">
      <formula>AND(XFB150=869)</formula>
    </cfRule>
  </conditionalFormatting>
  <conditionalFormatting sqref="A163">
    <cfRule type="expression" dxfId="183" priority="201">
      <formula>AND(XFB151=869)</formula>
    </cfRule>
  </conditionalFormatting>
  <conditionalFormatting sqref="A163">
    <cfRule type="expression" dxfId="182" priority="200">
      <formula>AND(XFB152=869)</formula>
    </cfRule>
  </conditionalFormatting>
  <conditionalFormatting sqref="A163">
    <cfRule type="expression" dxfId="181" priority="199">
      <formula>AND(XFB153=869)</formula>
    </cfRule>
  </conditionalFormatting>
  <conditionalFormatting sqref="A163">
    <cfRule type="expression" dxfId="180" priority="198">
      <formula>AND(XFB154=869)</formula>
    </cfRule>
  </conditionalFormatting>
  <conditionalFormatting sqref="A163">
    <cfRule type="expression" dxfId="179" priority="197">
      <formula>AND(XFB155=869)</formula>
    </cfRule>
  </conditionalFormatting>
  <conditionalFormatting sqref="A163">
    <cfRule type="expression" dxfId="178" priority="196">
      <formula>AND(XFB156=869)</formula>
    </cfRule>
  </conditionalFormatting>
  <conditionalFormatting sqref="A163">
    <cfRule type="expression" dxfId="177" priority="195">
      <formula>AND(XFB157=869)</formula>
    </cfRule>
  </conditionalFormatting>
  <conditionalFormatting sqref="A163">
    <cfRule type="expression" dxfId="176" priority="194">
      <formula>AND(XFB158=869)</formula>
    </cfRule>
  </conditionalFormatting>
  <conditionalFormatting sqref="A163">
    <cfRule type="expression" dxfId="175" priority="193">
      <formula>AND(XFB159=869)</formula>
    </cfRule>
  </conditionalFormatting>
  <conditionalFormatting sqref="A163">
    <cfRule type="expression" dxfId="174" priority="192">
      <formula>AND(XFB160=869)</formula>
    </cfRule>
  </conditionalFormatting>
  <conditionalFormatting sqref="A163">
    <cfRule type="expression" dxfId="173" priority="191">
      <formula>AND(XFB161=869)</formula>
    </cfRule>
  </conditionalFormatting>
  <conditionalFormatting sqref="A163">
    <cfRule type="expression" dxfId="172" priority="190">
      <formula>AND(XFB162=869)</formula>
    </cfRule>
  </conditionalFormatting>
  <conditionalFormatting sqref="A163">
    <cfRule type="expression" dxfId="171" priority="189">
      <formula>AND(XFB163=869)</formula>
    </cfRule>
  </conditionalFormatting>
  <conditionalFormatting sqref="A177:A180">
    <cfRule type="expression" dxfId="170" priority="404">
      <formula>AND(XFB159=869)</formula>
    </cfRule>
  </conditionalFormatting>
  <conditionalFormatting sqref="A176">
    <cfRule type="expression" dxfId="169" priority="188">
      <formula>AND(XFB160=869)</formula>
    </cfRule>
  </conditionalFormatting>
  <conditionalFormatting sqref="A176">
    <cfRule type="expression" dxfId="168" priority="187">
      <formula>AND(XFB161=869)</formula>
    </cfRule>
  </conditionalFormatting>
  <conditionalFormatting sqref="A176">
    <cfRule type="expression" dxfId="167" priority="186">
      <formula>AND(XFB162=869)</formula>
    </cfRule>
  </conditionalFormatting>
  <conditionalFormatting sqref="A176">
    <cfRule type="expression" dxfId="166" priority="185">
      <formula>AND(XFB163=869)</formula>
    </cfRule>
  </conditionalFormatting>
  <conditionalFormatting sqref="A176">
    <cfRule type="expression" dxfId="165" priority="184">
      <formula>AND(XFB164=869)</formula>
    </cfRule>
  </conditionalFormatting>
  <conditionalFormatting sqref="A176">
    <cfRule type="expression" dxfId="164" priority="183">
      <formula>AND(XFB165=869)</formula>
    </cfRule>
  </conditionalFormatting>
  <conditionalFormatting sqref="A176">
    <cfRule type="expression" dxfId="163" priority="182">
      <formula>AND(XFB166=869)</formula>
    </cfRule>
  </conditionalFormatting>
  <conditionalFormatting sqref="A176">
    <cfRule type="expression" dxfId="162" priority="181">
      <formula>AND(XFB167=869)</formula>
    </cfRule>
  </conditionalFormatting>
  <conditionalFormatting sqref="A176">
    <cfRule type="expression" dxfId="161" priority="180">
      <formula>AND(XFB168=869)</formula>
    </cfRule>
  </conditionalFormatting>
  <conditionalFormatting sqref="A176">
    <cfRule type="expression" dxfId="160" priority="179">
      <formula>AND(XFB169=869)</formula>
    </cfRule>
  </conditionalFormatting>
  <conditionalFormatting sqref="A176">
    <cfRule type="expression" dxfId="159" priority="178">
      <formula>AND(XFB170=869)</formula>
    </cfRule>
  </conditionalFormatting>
  <conditionalFormatting sqref="A176">
    <cfRule type="expression" dxfId="158" priority="177">
      <formula>AND(XFB171=869)</formula>
    </cfRule>
  </conditionalFormatting>
  <conditionalFormatting sqref="A176">
    <cfRule type="expression" dxfId="157" priority="176">
      <formula>AND(XFB172=869)</formula>
    </cfRule>
  </conditionalFormatting>
  <conditionalFormatting sqref="A176">
    <cfRule type="expression" dxfId="156" priority="175">
      <formula>AND(XFB173=869)</formula>
    </cfRule>
  </conditionalFormatting>
  <conditionalFormatting sqref="A176">
    <cfRule type="expression" dxfId="155" priority="174">
      <formula>AND(XFB174=869)</formula>
    </cfRule>
  </conditionalFormatting>
  <conditionalFormatting sqref="A176">
    <cfRule type="expression" dxfId="154" priority="173">
      <formula>AND(XFB175=869)</formula>
    </cfRule>
  </conditionalFormatting>
  <conditionalFormatting sqref="A176">
    <cfRule type="expression" dxfId="153" priority="172">
      <formula>AND(XFB176=869)</formula>
    </cfRule>
  </conditionalFormatting>
  <conditionalFormatting sqref="A181:A196">
    <cfRule type="expression" dxfId="152" priority="408">
      <formula>AND(XFB162=869)</formula>
    </cfRule>
  </conditionalFormatting>
  <conditionalFormatting sqref="A180">
    <cfRule type="expression" dxfId="151" priority="171">
      <formula>AND(XFB163=869)</formula>
    </cfRule>
  </conditionalFormatting>
  <conditionalFormatting sqref="A180">
    <cfRule type="expression" dxfId="150" priority="170">
      <formula>AND(XFB164=869)</formula>
    </cfRule>
  </conditionalFormatting>
  <conditionalFormatting sqref="A180">
    <cfRule type="expression" dxfId="149" priority="169">
      <formula>AND(XFB165=869)</formula>
    </cfRule>
  </conditionalFormatting>
  <conditionalFormatting sqref="A180">
    <cfRule type="expression" dxfId="148" priority="168">
      <formula>AND(XFB166=869)</formula>
    </cfRule>
  </conditionalFormatting>
  <conditionalFormatting sqref="A180">
    <cfRule type="expression" dxfId="147" priority="167">
      <formula>AND(XFB167=869)</formula>
    </cfRule>
  </conditionalFormatting>
  <conditionalFormatting sqref="A180">
    <cfRule type="expression" dxfId="146" priority="166">
      <formula>AND(XFB168=869)</formula>
    </cfRule>
  </conditionalFormatting>
  <conditionalFormatting sqref="A180">
    <cfRule type="expression" dxfId="145" priority="165">
      <formula>AND(XFB169=869)</formula>
    </cfRule>
  </conditionalFormatting>
  <conditionalFormatting sqref="A180">
    <cfRule type="expression" dxfId="144" priority="164">
      <formula>AND(XFB170=869)</formula>
    </cfRule>
  </conditionalFormatting>
  <conditionalFormatting sqref="A180">
    <cfRule type="expression" dxfId="143" priority="163">
      <formula>AND(XFB171=869)</formula>
    </cfRule>
  </conditionalFormatting>
  <conditionalFormatting sqref="A180">
    <cfRule type="expression" dxfId="142" priority="162">
      <formula>AND(XFB172=869)</formula>
    </cfRule>
  </conditionalFormatting>
  <conditionalFormatting sqref="A180">
    <cfRule type="expression" dxfId="141" priority="161">
      <formula>AND(XFB173=869)</formula>
    </cfRule>
  </conditionalFormatting>
  <conditionalFormatting sqref="A180">
    <cfRule type="expression" dxfId="140" priority="160">
      <formula>AND(XFB174=869)</formula>
    </cfRule>
  </conditionalFormatting>
  <conditionalFormatting sqref="A180">
    <cfRule type="expression" dxfId="139" priority="159">
      <formula>AND(XFB175=869)</formula>
    </cfRule>
  </conditionalFormatting>
  <conditionalFormatting sqref="A180">
    <cfRule type="expression" dxfId="138" priority="158">
      <formula>AND(XFB176=869)</formula>
    </cfRule>
  </conditionalFormatting>
  <conditionalFormatting sqref="A180">
    <cfRule type="expression" dxfId="137" priority="157">
      <formula>AND(XFB177=869)</formula>
    </cfRule>
  </conditionalFormatting>
  <conditionalFormatting sqref="A180">
    <cfRule type="expression" dxfId="136" priority="156">
      <formula>AND(XFB178=869)</formula>
    </cfRule>
  </conditionalFormatting>
  <conditionalFormatting sqref="A180">
    <cfRule type="expression" dxfId="135" priority="155">
      <formula>AND(XFB179=869)</formula>
    </cfRule>
  </conditionalFormatting>
  <conditionalFormatting sqref="A180">
    <cfRule type="expression" dxfId="134" priority="154">
      <formula>AND(XFB180=869)</formula>
    </cfRule>
  </conditionalFormatting>
  <conditionalFormatting sqref="A197:A202">
    <cfRule type="expression" dxfId="133" priority="412">
      <formula>AND(XFB177=869)</formula>
    </cfRule>
  </conditionalFormatting>
  <conditionalFormatting sqref="A196">
    <cfRule type="expression" dxfId="132" priority="153">
      <formula>AND(XFB178=869)</formula>
    </cfRule>
  </conditionalFormatting>
  <conditionalFormatting sqref="A196">
    <cfRule type="expression" dxfId="131" priority="152">
      <formula>AND(XFB179=869)</formula>
    </cfRule>
  </conditionalFormatting>
  <conditionalFormatting sqref="A196">
    <cfRule type="expression" dxfId="130" priority="151">
      <formula>AND(XFB180=869)</formula>
    </cfRule>
  </conditionalFormatting>
  <conditionalFormatting sqref="A196">
    <cfRule type="expression" dxfId="129" priority="150">
      <formula>AND(XFB181=869)</formula>
    </cfRule>
  </conditionalFormatting>
  <conditionalFormatting sqref="A196">
    <cfRule type="expression" dxfId="128" priority="149">
      <formula>AND(XFB182=869)</formula>
    </cfRule>
  </conditionalFormatting>
  <conditionalFormatting sqref="A196">
    <cfRule type="expression" dxfId="127" priority="148">
      <formula>AND(XFB183=869)</formula>
    </cfRule>
  </conditionalFormatting>
  <conditionalFormatting sqref="A196">
    <cfRule type="expression" dxfId="126" priority="147">
      <formula>AND(XFB184=869)</formula>
    </cfRule>
  </conditionalFormatting>
  <conditionalFormatting sqref="A196">
    <cfRule type="expression" dxfId="125" priority="146">
      <formula>AND(XFB185=869)</formula>
    </cfRule>
  </conditionalFormatting>
  <conditionalFormatting sqref="A196">
    <cfRule type="expression" dxfId="124" priority="145">
      <formula>AND(XFB186=869)</formula>
    </cfRule>
  </conditionalFormatting>
  <conditionalFormatting sqref="A196">
    <cfRule type="expression" dxfId="123" priority="144">
      <formula>AND(XFB187=869)</formula>
    </cfRule>
  </conditionalFormatting>
  <conditionalFormatting sqref="A196">
    <cfRule type="expression" dxfId="122" priority="143">
      <formula>AND(XFB188=869)</formula>
    </cfRule>
  </conditionalFormatting>
  <conditionalFormatting sqref="A196">
    <cfRule type="expression" dxfId="121" priority="142">
      <formula>AND(XFB189=869)</formula>
    </cfRule>
  </conditionalFormatting>
  <conditionalFormatting sqref="A196">
    <cfRule type="expression" dxfId="120" priority="141">
      <formula>AND(XFB190=869)</formula>
    </cfRule>
  </conditionalFormatting>
  <conditionalFormatting sqref="A196">
    <cfRule type="expression" dxfId="119" priority="140">
      <formula>AND(XFB191=869)</formula>
    </cfRule>
  </conditionalFormatting>
  <conditionalFormatting sqref="A196">
    <cfRule type="expression" dxfId="118" priority="139">
      <formula>AND(XFB192=869)</formula>
    </cfRule>
  </conditionalFormatting>
  <conditionalFormatting sqref="A196">
    <cfRule type="expression" dxfId="117" priority="138">
      <formula>AND(XFB193=869)</formula>
    </cfRule>
  </conditionalFormatting>
  <conditionalFormatting sqref="A196">
    <cfRule type="expression" dxfId="116" priority="137">
      <formula>AND(XFB194=869)</formula>
    </cfRule>
  </conditionalFormatting>
  <conditionalFormatting sqref="A196">
    <cfRule type="expression" dxfId="115" priority="136">
      <formula>AND(XFB195=869)</formula>
    </cfRule>
  </conditionalFormatting>
  <conditionalFormatting sqref="A196">
    <cfRule type="expression" dxfId="114" priority="135">
      <formula>AND(XFB196=869)</formula>
    </cfRule>
  </conditionalFormatting>
  <conditionalFormatting sqref="A203:A211">
    <cfRule type="expression" dxfId="113" priority="416">
      <formula>AND(XFB182=869)</formula>
    </cfRule>
  </conditionalFormatting>
  <conditionalFormatting sqref="A202">
    <cfRule type="expression" dxfId="112" priority="134">
      <formula>AND(XFB183=869)</formula>
    </cfRule>
  </conditionalFormatting>
  <conditionalFormatting sqref="A202">
    <cfRule type="expression" dxfId="111" priority="133">
      <formula>AND(XFB184=869)</formula>
    </cfRule>
  </conditionalFormatting>
  <conditionalFormatting sqref="A202">
    <cfRule type="expression" dxfId="110" priority="132">
      <formula>AND(XFB185=869)</formula>
    </cfRule>
  </conditionalFormatting>
  <conditionalFormatting sqref="A202">
    <cfRule type="expression" dxfId="109" priority="131">
      <formula>AND(XFB186=869)</formula>
    </cfRule>
  </conditionalFormatting>
  <conditionalFormatting sqref="A202">
    <cfRule type="expression" dxfId="108" priority="130">
      <formula>AND(XFB187=869)</formula>
    </cfRule>
  </conditionalFormatting>
  <conditionalFormatting sqref="A202">
    <cfRule type="expression" dxfId="107" priority="129">
      <formula>AND(XFB188=869)</formula>
    </cfRule>
  </conditionalFormatting>
  <conditionalFormatting sqref="A202">
    <cfRule type="expression" dxfId="106" priority="128">
      <formula>AND(XFB189=869)</formula>
    </cfRule>
  </conditionalFormatting>
  <conditionalFormatting sqref="A202">
    <cfRule type="expression" dxfId="105" priority="127">
      <formula>AND(XFB190=869)</formula>
    </cfRule>
  </conditionalFormatting>
  <conditionalFormatting sqref="A202">
    <cfRule type="expression" dxfId="104" priority="126">
      <formula>AND(XFB191=869)</formula>
    </cfRule>
  </conditionalFormatting>
  <conditionalFormatting sqref="A202">
    <cfRule type="expression" dxfId="103" priority="125">
      <formula>AND(XFB192=869)</formula>
    </cfRule>
  </conditionalFormatting>
  <conditionalFormatting sqref="A202">
    <cfRule type="expression" dxfId="102" priority="124">
      <formula>AND(XFB193=869)</formula>
    </cfRule>
  </conditionalFormatting>
  <conditionalFormatting sqref="A202">
    <cfRule type="expression" dxfId="101" priority="123">
      <formula>AND(XFB194=869)</formula>
    </cfRule>
  </conditionalFormatting>
  <conditionalFormatting sqref="A202">
    <cfRule type="expression" dxfId="100" priority="122">
      <formula>AND(XFB195=869)</formula>
    </cfRule>
  </conditionalFormatting>
  <conditionalFormatting sqref="A202">
    <cfRule type="expression" dxfId="99" priority="121">
      <formula>AND(XFB196=869)</formula>
    </cfRule>
  </conditionalFormatting>
  <conditionalFormatting sqref="A202">
    <cfRule type="expression" dxfId="98" priority="120">
      <formula>AND(XFB197=869)</formula>
    </cfRule>
  </conditionalFormatting>
  <conditionalFormatting sqref="A202">
    <cfRule type="expression" dxfId="97" priority="119">
      <formula>AND(XFB198=869)</formula>
    </cfRule>
  </conditionalFormatting>
  <conditionalFormatting sqref="A202">
    <cfRule type="expression" dxfId="96" priority="118">
      <formula>AND(XFB199=869)</formula>
    </cfRule>
  </conditionalFormatting>
  <conditionalFormatting sqref="A202">
    <cfRule type="expression" dxfId="95" priority="117">
      <formula>AND(XFB200=869)</formula>
    </cfRule>
  </conditionalFormatting>
  <conditionalFormatting sqref="A202">
    <cfRule type="expression" dxfId="94" priority="116">
      <formula>AND(XFB201=869)</formula>
    </cfRule>
  </conditionalFormatting>
  <conditionalFormatting sqref="A202">
    <cfRule type="expression" dxfId="93" priority="115">
      <formula>AND(XFB202=869)</formula>
    </cfRule>
  </conditionalFormatting>
  <conditionalFormatting sqref="A212:A221">
    <cfRule type="expression" dxfId="92" priority="420">
      <formula>AND(XFB190=869)</formula>
    </cfRule>
  </conditionalFormatting>
  <conditionalFormatting sqref="A211">
    <cfRule type="expression" dxfId="91" priority="114">
      <formula>AND(XFB191=869)</formula>
    </cfRule>
  </conditionalFormatting>
  <conditionalFormatting sqref="A211">
    <cfRule type="expression" dxfId="90" priority="113">
      <formula>AND(XFB192=869)</formula>
    </cfRule>
  </conditionalFormatting>
  <conditionalFormatting sqref="A211">
    <cfRule type="expression" dxfId="89" priority="112">
      <formula>AND(XFB193=869)</formula>
    </cfRule>
  </conditionalFormatting>
  <conditionalFormatting sqref="A211">
    <cfRule type="expression" dxfId="88" priority="111">
      <formula>AND(XFB194=869)</formula>
    </cfRule>
  </conditionalFormatting>
  <conditionalFormatting sqref="A211">
    <cfRule type="expression" dxfId="87" priority="110">
      <formula>AND(XFB195=869)</formula>
    </cfRule>
  </conditionalFormatting>
  <conditionalFormatting sqref="A211">
    <cfRule type="expression" dxfId="86" priority="109">
      <formula>AND(XFB196=869)</formula>
    </cfRule>
  </conditionalFormatting>
  <conditionalFormatting sqref="A211">
    <cfRule type="expression" dxfId="85" priority="108">
      <formula>AND(XFB197=869)</formula>
    </cfRule>
  </conditionalFormatting>
  <conditionalFormatting sqref="A211">
    <cfRule type="expression" dxfId="84" priority="107">
      <formula>AND(XFB198=869)</formula>
    </cfRule>
  </conditionalFormatting>
  <conditionalFormatting sqref="A211">
    <cfRule type="expression" dxfId="83" priority="106">
      <formula>AND(XFB199=869)</formula>
    </cfRule>
  </conditionalFormatting>
  <conditionalFormatting sqref="A211">
    <cfRule type="expression" dxfId="82" priority="105">
      <formula>AND(XFB200=869)</formula>
    </cfRule>
  </conditionalFormatting>
  <conditionalFormatting sqref="A211">
    <cfRule type="expression" dxfId="81" priority="104">
      <formula>AND(XFB201=869)</formula>
    </cfRule>
  </conditionalFormatting>
  <conditionalFormatting sqref="A211">
    <cfRule type="expression" dxfId="80" priority="103">
      <formula>AND(XFB202=869)</formula>
    </cfRule>
  </conditionalFormatting>
  <conditionalFormatting sqref="A211">
    <cfRule type="expression" dxfId="79" priority="102">
      <formula>AND(XFB203=869)</formula>
    </cfRule>
  </conditionalFormatting>
  <conditionalFormatting sqref="A211">
    <cfRule type="expression" dxfId="78" priority="101">
      <formula>AND(XFB204=869)</formula>
    </cfRule>
  </conditionalFormatting>
  <conditionalFormatting sqref="A211">
    <cfRule type="expression" dxfId="77" priority="100">
      <formula>AND(XFB205=869)</formula>
    </cfRule>
  </conditionalFormatting>
  <conditionalFormatting sqref="A211">
    <cfRule type="expression" dxfId="76" priority="99">
      <formula>AND(XFB206=869)</formula>
    </cfRule>
  </conditionalFormatting>
  <conditionalFormatting sqref="A211">
    <cfRule type="expression" dxfId="75" priority="98">
      <formula>AND(XFB207=869)</formula>
    </cfRule>
  </conditionalFormatting>
  <conditionalFormatting sqref="A211">
    <cfRule type="expression" dxfId="74" priority="97">
      <formula>AND(XFB208=869)</formula>
    </cfRule>
  </conditionalFormatting>
  <conditionalFormatting sqref="A211">
    <cfRule type="expression" dxfId="73" priority="96">
      <formula>AND(XFB209=869)</formula>
    </cfRule>
  </conditionalFormatting>
  <conditionalFormatting sqref="A211">
    <cfRule type="expression" dxfId="72" priority="95">
      <formula>AND(XFB210=869)</formula>
    </cfRule>
  </conditionalFormatting>
  <conditionalFormatting sqref="A211">
    <cfRule type="expression" dxfId="71" priority="94">
      <formula>AND(XFB211=869)</formula>
    </cfRule>
  </conditionalFormatting>
  <conditionalFormatting sqref="A222:A224">
    <cfRule type="expression" dxfId="70" priority="424">
      <formula>AND(XFB199=869)</formula>
    </cfRule>
  </conditionalFormatting>
  <conditionalFormatting sqref="A221">
    <cfRule type="expression" dxfId="69" priority="93">
      <formula>AND(XFB200=869)</formula>
    </cfRule>
  </conditionalFormatting>
  <conditionalFormatting sqref="A221">
    <cfRule type="expression" dxfId="68" priority="92">
      <formula>AND(XFB201=869)</formula>
    </cfRule>
  </conditionalFormatting>
  <conditionalFormatting sqref="A221">
    <cfRule type="expression" dxfId="67" priority="91">
      <formula>AND(XFB202=869)</formula>
    </cfRule>
  </conditionalFormatting>
  <conditionalFormatting sqref="A221">
    <cfRule type="expression" dxfId="66" priority="90">
      <formula>AND(XFB203=869)</formula>
    </cfRule>
  </conditionalFormatting>
  <conditionalFormatting sqref="A221">
    <cfRule type="expression" dxfId="65" priority="89">
      <formula>AND(XFB204=869)</formula>
    </cfRule>
  </conditionalFormatting>
  <conditionalFormatting sqref="A221">
    <cfRule type="expression" dxfId="64" priority="88">
      <formula>AND(XFB205=869)</formula>
    </cfRule>
  </conditionalFormatting>
  <conditionalFormatting sqref="A221">
    <cfRule type="expression" dxfId="63" priority="87">
      <formula>AND(XFB206=869)</formula>
    </cfRule>
  </conditionalFormatting>
  <conditionalFormatting sqref="A221">
    <cfRule type="expression" dxfId="62" priority="86">
      <formula>AND(XFB207=869)</formula>
    </cfRule>
  </conditionalFormatting>
  <conditionalFormatting sqref="A221">
    <cfRule type="expression" dxfId="61" priority="85">
      <formula>AND(XFB208=869)</formula>
    </cfRule>
  </conditionalFormatting>
  <conditionalFormatting sqref="A221">
    <cfRule type="expression" dxfId="60" priority="84">
      <formula>AND(XFB209=869)</formula>
    </cfRule>
  </conditionalFormatting>
  <conditionalFormatting sqref="A221">
    <cfRule type="expression" dxfId="59" priority="83">
      <formula>AND(XFB210=869)</formula>
    </cfRule>
  </conditionalFormatting>
  <conditionalFormatting sqref="A221">
    <cfRule type="expression" dxfId="58" priority="82">
      <formula>AND(XFB211=869)</formula>
    </cfRule>
  </conditionalFormatting>
  <conditionalFormatting sqref="A221">
    <cfRule type="expression" dxfId="57" priority="81">
      <formula>AND(XFB212=869)</formula>
    </cfRule>
  </conditionalFormatting>
  <conditionalFormatting sqref="A221">
    <cfRule type="expression" dxfId="56" priority="80">
      <formula>AND(XFB213=869)</formula>
    </cfRule>
  </conditionalFormatting>
  <conditionalFormatting sqref="A221">
    <cfRule type="expression" dxfId="55" priority="79">
      <formula>AND(XFB214=869)</formula>
    </cfRule>
  </conditionalFormatting>
  <conditionalFormatting sqref="A221">
    <cfRule type="expression" dxfId="54" priority="78">
      <formula>AND(XFB215=869)</formula>
    </cfRule>
  </conditionalFormatting>
  <conditionalFormatting sqref="A221">
    <cfRule type="expression" dxfId="53" priority="77">
      <formula>AND(XFB216=869)</formula>
    </cfRule>
  </conditionalFormatting>
  <conditionalFormatting sqref="A221">
    <cfRule type="expression" dxfId="52" priority="76">
      <formula>AND(XFB217=869)</formula>
    </cfRule>
  </conditionalFormatting>
  <conditionalFormatting sqref="A221">
    <cfRule type="expression" dxfId="51" priority="75">
      <formula>AND(XFB218=869)</formula>
    </cfRule>
  </conditionalFormatting>
  <conditionalFormatting sqref="A221">
    <cfRule type="expression" dxfId="50" priority="74">
      <formula>AND(XFB219=869)</formula>
    </cfRule>
  </conditionalFormatting>
  <conditionalFormatting sqref="A221">
    <cfRule type="expression" dxfId="49" priority="73">
      <formula>AND(XFB220=869)</formula>
    </cfRule>
  </conditionalFormatting>
  <conditionalFormatting sqref="A221">
    <cfRule type="expression" dxfId="48" priority="72">
      <formula>AND(XFB221=869)</formula>
    </cfRule>
  </conditionalFormatting>
  <conditionalFormatting sqref="A225:A228">
    <cfRule type="expression" dxfId="47" priority="428">
      <formula>AND(XFB201=869)</formula>
    </cfRule>
  </conditionalFormatting>
  <conditionalFormatting sqref="A224">
    <cfRule type="expression" dxfId="46" priority="71">
      <formula>AND(XFB202=869)</formula>
    </cfRule>
  </conditionalFormatting>
  <conditionalFormatting sqref="A224">
    <cfRule type="expression" dxfId="45" priority="70">
      <formula>AND(XFB203=869)</formula>
    </cfRule>
  </conditionalFormatting>
  <conditionalFormatting sqref="A224">
    <cfRule type="expression" dxfId="44" priority="69">
      <formula>AND(XFB204=869)</formula>
    </cfRule>
  </conditionalFormatting>
  <conditionalFormatting sqref="A224">
    <cfRule type="expression" dxfId="43" priority="68">
      <formula>AND(XFB205=869)</formula>
    </cfRule>
  </conditionalFormatting>
  <conditionalFormatting sqref="A224">
    <cfRule type="expression" dxfId="42" priority="67">
      <formula>AND(XFB206=869)</formula>
    </cfRule>
  </conditionalFormatting>
  <conditionalFormatting sqref="A224">
    <cfRule type="expression" dxfId="41" priority="66">
      <formula>AND(XFB207=869)</formula>
    </cfRule>
  </conditionalFormatting>
  <conditionalFormatting sqref="A224">
    <cfRule type="expression" dxfId="40" priority="65">
      <formula>AND(XFB208=869)</formula>
    </cfRule>
  </conditionalFormatting>
  <conditionalFormatting sqref="A224">
    <cfRule type="expression" dxfId="39" priority="64">
      <formula>AND(XFB209=869)</formula>
    </cfRule>
  </conditionalFormatting>
  <conditionalFormatting sqref="A224">
    <cfRule type="expression" dxfId="38" priority="63">
      <formula>AND(XFB210=869)</formula>
    </cfRule>
  </conditionalFormatting>
  <conditionalFormatting sqref="A224">
    <cfRule type="expression" dxfId="37" priority="62">
      <formula>AND(XFB211=869)</formula>
    </cfRule>
  </conditionalFormatting>
  <conditionalFormatting sqref="A224">
    <cfRule type="expression" dxfId="36" priority="61">
      <formula>AND(XFB212=869)</formula>
    </cfRule>
  </conditionalFormatting>
  <conditionalFormatting sqref="A224">
    <cfRule type="expression" dxfId="35" priority="60">
      <formula>AND(XFB213=869)</formula>
    </cfRule>
  </conditionalFormatting>
  <conditionalFormatting sqref="A224">
    <cfRule type="expression" dxfId="34" priority="59">
      <formula>AND(XFB214=869)</formula>
    </cfRule>
  </conditionalFormatting>
  <conditionalFormatting sqref="A224">
    <cfRule type="expression" dxfId="33" priority="58">
      <formula>AND(XFB215=869)</formula>
    </cfRule>
  </conditionalFormatting>
  <conditionalFormatting sqref="A224">
    <cfRule type="expression" dxfId="32" priority="57">
      <formula>AND(XFB216=869)</formula>
    </cfRule>
  </conditionalFormatting>
  <conditionalFormatting sqref="A224">
    <cfRule type="expression" dxfId="31" priority="56">
      <formula>AND(XFB217=869)</formula>
    </cfRule>
  </conditionalFormatting>
  <conditionalFormatting sqref="A224">
    <cfRule type="expression" dxfId="30" priority="55">
      <formula>AND(XFB218=869)</formula>
    </cfRule>
  </conditionalFormatting>
  <conditionalFormatting sqref="A224">
    <cfRule type="expression" dxfId="29" priority="54">
      <formula>AND(XFB219=869)</formula>
    </cfRule>
  </conditionalFormatting>
  <conditionalFormatting sqref="A224">
    <cfRule type="expression" dxfId="28" priority="53">
      <formula>AND(XFB220=869)</formula>
    </cfRule>
  </conditionalFormatting>
  <conditionalFormatting sqref="A224">
    <cfRule type="expression" dxfId="27" priority="52">
      <formula>AND(XFB221=869)</formula>
    </cfRule>
  </conditionalFormatting>
  <conditionalFormatting sqref="A224">
    <cfRule type="expression" dxfId="26" priority="51">
      <formula>AND(XFB222=869)</formula>
    </cfRule>
  </conditionalFormatting>
  <conditionalFormatting sqref="A224">
    <cfRule type="expression" dxfId="25" priority="50">
      <formula>AND(XFB223=869)</formula>
    </cfRule>
  </conditionalFormatting>
  <conditionalFormatting sqref="A224">
    <cfRule type="expression" dxfId="24" priority="49">
      <formula>AND(XFB224=869)</formula>
    </cfRule>
  </conditionalFormatting>
  <conditionalFormatting sqref="B6:B10">
    <cfRule type="cellIs" dxfId="23" priority="48" operator="equal">
      <formula>0</formula>
    </cfRule>
  </conditionalFormatting>
  <conditionalFormatting sqref="B13:B17">
    <cfRule type="cellIs" dxfId="22" priority="47" operator="equal">
      <formula>0</formula>
    </cfRule>
  </conditionalFormatting>
  <conditionalFormatting sqref="B20:B37">
    <cfRule type="cellIs" dxfId="21" priority="46" operator="equal">
      <formula>0</formula>
    </cfRule>
  </conditionalFormatting>
  <conditionalFormatting sqref="B40:B57">
    <cfRule type="cellIs" dxfId="20" priority="45" operator="equal">
      <formula>0</formula>
    </cfRule>
  </conditionalFormatting>
  <conditionalFormatting sqref="B60:B64">
    <cfRule type="cellIs" dxfId="19" priority="44" operator="equal">
      <formula>0</formula>
    </cfRule>
  </conditionalFormatting>
  <conditionalFormatting sqref="B67:B72">
    <cfRule type="cellIs" dxfId="18" priority="43" operator="equal">
      <formula>0</formula>
    </cfRule>
  </conditionalFormatting>
  <conditionalFormatting sqref="B75:B77">
    <cfRule type="cellIs" dxfId="17" priority="42" operator="equal">
      <formula>0</formula>
    </cfRule>
  </conditionalFormatting>
  <conditionalFormatting sqref="B80:B90">
    <cfRule type="cellIs" dxfId="16" priority="41" operator="equal">
      <formula>0</formula>
    </cfRule>
  </conditionalFormatting>
  <conditionalFormatting sqref="B93:B97">
    <cfRule type="cellIs" dxfId="15" priority="40" operator="equal">
      <formula>0</formula>
    </cfRule>
  </conditionalFormatting>
  <conditionalFormatting sqref="B100:B109">
    <cfRule type="cellIs" dxfId="14" priority="39" operator="equal">
      <formula>0</formula>
    </cfRule>
  </conditionalFormatting>
  <conditionalFormatting sqref="B112:B125">
    <cfRule type="cellIs" dxfId="13" priority="38" operator="equal">
      <formula>0</formula>
    </cfRule>
  </conditionalFormatting>
  <conditionalFormatting sqref="B128:B130">
    <cfRule type="cellIs" dxfId="12" priority="37" operator="equal">
      <formula>0</formula>
    </cfRule>
  </conditionalFormatting>
  <conditionalFormatting sqref="B133:B136">
    <cfRule type="cellIs" dxfId="11" priority="36" operator="equal">
      <formula>0</formula>
    </cfRule>
  </conditionalFormatting>
  <conditionalFormatting sqref="B139:B145">
    <cfRule type="cellIs" dxfId="10" priority="35" operator="equal">
      <formula>0</formula>
    </cfRule>
  </conditionalFormatting>
  <conditionalFormatting sqref="B148:B154">
    <cfRule type="cellIs" dxfId="9" priority="34" operator="equal">
      <formula>0</formula>
    </cfRule>
  </conditionalFormatting>
  <conditionalFormatting sqref="B157:B161">
    <cfRule type="cellIs" dxfId="8" priority="33" operator="equal">
      <formula>0</formula>
    </cfRule>
  </conditionalFormatting>
  <conditionalFormatting sqref="B164:B174">
    <cfRule type="cellIs" dxfId="7" priority="32" operator="equal">
      <formula>0</formula>
    </cfRule>
  </conditionalFormatting>
  <conditionalFormatting sqref="B177:B178">
    <cfRule type="cellIs" dxfId="6" priority="31" operator="equal">
      <formula>0</formula>
    </cfRule>
  </conditionalFormatting>
  <conditionalFormatting sqref="B181:B194">
    <cfRule type="cellIs" dxfId="5" priority="30" operator="equal">
      <formula>0</formula>
    </cfRule>
  </conditionalFormatting>
  <conditionalFormatting sqref="B197:B200">
    <cfRule type="cellIs" dxfId="4" priority="29" operator="equal">
      <formula>0</formula>
    </cfRule>
  </conditionalFormatting>
  <conditionalFormatting sqref="B203:B209">
    <cfRule type="cellIs" dxfId="3" priority="28" operator="equal">
      <formula>0</formula>
    </cfRule>
  </conditionalFormatting>
  <conditionalFormatting sqref="B212:B219">
    <cfRule type="cellIs" dxfId="2" priority="27" operator="equal">
      <formula>0</formula>
    </cfRule>
  </conditionalFormatting>
  <conditionalFormatting sqref="B222">
    <cfRule type="cellIs" dxfId="1" priority="26" operator="equal">
      <formula>0</formula>
    </cfRule>
  </conditionalFormatting>
  <conditionalFormatting sqref="B225:B228">
    <cfRule type="cellIs" dxfId="0" priority="25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36</vt:i4>
      </vt:variant>
    </vt:vector>
  </HeadingPairs>
  <TitlesOfParts>
    <vt:vector size="43" baseType="lpstr">
      <vt:lpstr>Калькулятор</vt:lpstr>
      <vt:lpstr>Розрахунки</vt:lpstr>
      <vt:lpstr>Дані</vt:lpstr>
      <vt:lpstr>Графіки</vt:lpstr>
      <vt:lpstr>Регіони</vt:lpstr>
      <vt:lpstr>Тарифи</vt:lpstr>
      <vt:lpstr>Тарифи-1</vt:lpstr>
      <vt:lpstr>Вінницька_область</vt:lpstr>
      <vt:lpstr>Волинська_область</vt:lpstr>
      <vt:lpstr>Газовий_котел</vt:lpstr>
      <vt:lpstr>Дизельний_котел</vt:lpstr>
      <vt:lpstr>Дніпропетровська_область</vt:lpstr>
      <vt:lpstr>Донецька_область</vt:lpstr>
      <vt:lpstr>Електричний_котел</vt:lpstr>
      <vt:lpstr>Житомирська_область</vt:lpstr>
      <vt:lpstr>Запорізька_область</vt:lpstr>
      <vt:lpstr>Івано_Франківська_область</vt:lpstr>
      <vt:lpstr>Київська_область</vt:lpstr>
      <vt:lpstr>Кіровоградська_область</vt:lpstr>
      <vt:lpstr>Котли</vt:lpstr>
      <vt:lpstr>Котли1</vt:lpstr>
      <vt:lpstr>Луганська_область</vt:lpstr>
      <vt:lpstr>Львівська_область</vt:lpstr>
      <vt:lpstr>м._Київ</vt:lpstr>
      <vt:lpstr>Миколаївська_область</vt:lpstr>
      <vt:lpstr>Калькулятор!Область_печати</vt:lpstr>
      <vt:lpstr>Одеська_область</vt:lpstr>
      <vt:lpstr>Полтавська_область</vt:lpstr>
      <vt:lpstr>Регіони</vt:lpstr>
      <vt:lpstr>Рівненська_область</vt:lpstr>
      <vt:lpstr>Строк_кредиту</vt:lpstr>
      <vt:lpstr>Сумська_область</vt:lpstr>
      <vt:lpstr>таня</vt:lpstr>
      <vt:lpstr>Твердопаливний_котел</vt:lpstr>
      <vt:lpstr>Тернопільська_область</vt:lpstr>
      <vt:lpstr>Тип_фінансування</vt:lpstr>
      <vt:lpstr>Харківська_область</vt:lpstr>
      <vt:lpstr>Херсонська_область</vt:lpstr>
      <vt:lpstr>Хмельницька_область</vt:lpstr>
      <vt:lpstr>Централізоване</vt:lpstr>
      <vt:lpstr>Черкаська_область</vt:lpstr>
      <vt:lpstr>Чернівецька_область</vt:lpstr>
      <vt:lpstr>Чернігівська_область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2015-05-07T06:21:49Z</dcterms:modified>
</cp:coreProperties>
</file>